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Debts" sheetId="2" state="visible" r:id="rId2"/>
    <sheet xmlns:r="http://schemas.openxmlformats.org/officeDocument/2006/relationships" name="Pla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;[Red]-#,##0.00"/>
    <numFmt numFmtId="165" formatCode="yyyy-mm-dd"/>
    <numFmt numFmtId="166" formatCode="mmm yyyy"/>
  </numFmts>
  <fonts count="13">
    <font>
      <name val="Calibri"/>
      <family val="2"/>
      <color theme="1"/>
      <sz val="11"/>
      <scheme val="minor"/>
    </font>
    <font>
      <name val="Arial"/>
      <b val="1"/>
      <sz val="18"/>
    </font>
    <font>
      <name val="Arial"/>
      <color rgb="00808080"/>
    </font>
    <font>
      <name val="Arial"/>
      <b val="1"/>
    </font>
    <font>
      <name val="Arial"/>
    </font>
    <font>
      <name val="Arial"/>
      <b val="1"/>
      <color rgb="00C8641E"/>
      <sz val="12"/>
    </font>
    <font>
      <name val="Arial"/>
      <sz val="10"/>
    </font>
    <font>
      <name val="Arial"/>
      <color rgb="000563C1"/>
      <sz val="10"/>
      <u val="single"/>
    </font>
    <font>
      <name val="Arial"/>
      <b val="1"/>
      <color rgb="007A2E2E"/>
      <sz val="18"/>
    </font>
    <font>
      <name val="Arial"/>
      <color rgb="000000FF"/>
    </font>
    <font>
      <name val="Arial"/>
      <b val="1"/>
      <color rgb="00FFFFFF"/>
    </font>
    <font>
      <name val="Arial"/>
      <color rgb="00C00000"/>
    </font>
    <font>
      <name val="Arial"/>
      <b val="1"/>
      <color rgb="007A2E2E"/>
      <sz val="16"/>
    </font>
  </fonts>
  <fills count="6">
    <fill>
      <patternFill/>
    </fill>
    <fill>
      <patternFill patternType="gray125"/>
    </fill>
    <fill>
      <patternFill patternType="solid">
        <fgColor rgb="00FDF3E7"/>
      </patternFill>
    </fill>
    <fill>
      <patternFill patternType="solid">
        <fgColor rgb="00FFF2CC"/>
      </patternFill>
    </fill>
    <fill>
      <patternFill patternType="solid">
        <fgColor rgb="00E2EFDA"/>
      </patternFill>
    </fill>
    <fill>
      <patternFill patternType="solid">
        <fgColor rgb="007A2E2E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5" fillId="2" borderId="0" pivotButton="0" quotePrefix="0" xfId="0"/>
    <xf numFmtId="0" fontId="6" fillId="2" borderId="0" pivotButton="0" quotePrefix="0" xfId="0"/>
    <xf numFmtId="0" fontId="7" fillId="2" borderId="0" pivotButton="0" quotePrefix="0" xfId="0"/>
    <xf numFmtId="0" fontId="8" fillId="0" borderId="0" pivotButton="0" quotePrefix="0" xfId="0"/>
    <xf numFmtId="164" fontId="9" fillId="3" borderId="1" pivotButton="0" quotePrefix="0" xfId="0"/>
    <xf numFmtId="166" fontId="9" fillId="3" borderId="1" pivotButton="0" quotePrefix="0" xfId="0"/>
    <xf numFmtId="164" fontId="3" fillId="4" borderId="1" pivotButton="0" quotePrefix="0" xfId="0"/>
    <xf numFmtId="0" fontId="10" fillId="5" borderId="1" applyAlignment="1" pivotButton="0" quotePrefix="0" xfId="0">
      <alignment horizontal="center" vertical="center" wrapText="1"/>
    </xf>
    <xf numFmtId="0" fontId="9" fillId="3" borderId="1" pivotButton="0" quotePrefix="0" xfId="0"/>
    <xf numFmtId="10" fontId="9" fillId="3" borderId="1" pivotButton="0" quotePrefix="0" xfId="0"/>
    <xf numFmtId="164" fontId="4" fillId="0" borderId="1" pivotButton="0" quotePrefix="0" xfId="0"/>
    <xf numFmtId="1" fontId="4" fillId="0" borderId="1" pivotButton="0" quotePrefix="0" xfId="0"/>
    <xf numFmtId="166" fontId="4" fillId="0" borderId="1" pivotButton="0" quotePrefix="0" xfId="0"/>
    <xf numFmtId="0" fontId="11" fillId="0" borderId="1" pivotButton="0" quotePrefix="0" xfId="0"/>
    <xf numFmtId="1" fontId="3" fillId="4" borderId="1" pivotButton="0" quotePrefix="0" xfId="0"/>
    <xf numFmtId="166" fontId="3" fillId="4" borderId="1" pivotButton="0" quotePrefix="0" xfId="0"/>
    <xf numFmtId="0" fontId="12" fillId="0" borderId="0" pivotButton="0" quotePrefix="0" xfId="0"/>
    <xf numFmtId="166" fontId="0" fillId="0" borderId="0" pivotButton="0" quotePrefix="0" xfId="0"/>
    <xf numFmtId="164" fontId="0" fillId="0" borderId="0" pivotButton="0" quotePrefix="0" xfId="0"/>
    <xf numFmtId="1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ideasandfinds.com/shop" TargetMode="External" Id="rId1"/><Relationship Type="http://schemas.openxmlformats.org/officeDocument/2006/relationships/hyperlink" Target="https://www.etsy.com/listing/4588777659" TargetMode="External" Id="rId2"/><Relationship Type="http://schemas.openxmlformats.org/officeDocument/2006/relationships/hyperlink" Target="https://payhip.com/b/7U1QB" TargetMode="External" Id="rId3"/></Relationships>
</file>

<file path=xl/worksheets/_rels/sheet2.xml.rels><Relationships xmlns="http://schemas.openxmlformats.org/package/2006/relationships"><Relationship Type="http://schemas.openxmlformats.org/officeDocument/2006/relationships/hyperlink" Target="https://ideasandfinds.com/shop" TargetMode="External" Id="rId1"/><Relationship Type="http://schemas.openxmlformats.org/officeDocument/2006/relationships/hyperlink" Target="https://www.etsy.com/listing/4588777659" TargetMode="External" Id="rId2"/><Relationship Type="http://schemas.openxmlformats.org/officeDocument/2006/relationships/hyperlink" Target="https://payhip.com/b/7U1QB" TargetMode="External" Id="rId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Debt Payoff Lite (Snowball, up to 5 debts)</t>
        </is>
      </c>
    </row>
    <row r="2">
      <c r="A2" s="2" t="inlineStr">
        <is>
          <t>Free sample from TrendWavesGoods · works in Excel, Google Sheets and LibreOffice · no macros</t>
        </is>
      </c>
    </row>
    <row r="4">
      <c r="A4" s="3" t="inlineStr">
        <is>
          <t>How to use:</t>
        </is>
      </c>
    </row>
    <row r="5">
      <c r="A5" s="4" t="inlineStr">
        <is>
          <t>1. Debts tab: list up to 5 debts with balance, interest rate (APR) and minimum monthly payment.</t>
        </is>
      </c>
    </row>
    <row r="6">
      <c r="A6" s="4" t="inlineStr">
        <is>
          <t>2. Type the extra amount you can pay each month on top of the minimums, and your start month.</t>
        </is>
      </c>
    </row>
    <row r="7">
      <c r="A7" s="4" t="inlineStr">
        <is>
          <t>3. The sheet sorts your debts smallest balance first (the snowball method) and estimates the month each one is paid off.</t>
        </is>
      </c>
    </row>
    <row r="8">
      <c r="A8" s="4" t="inlineStr">
        <is>
          <t>4. Plan tab: the month-by-month payments. When a debt is paid off, its payment rolls onto the next one.</t>
        </is>
      </c>
    </row>
    <row r="10">
      <c r="A10" s="2" t="inlineStr">
        <is>
          <t>Colour code: yellow cells = you type. Everything else is a formula, so please leave it as it is.</t>
        </is>
      </c>
    </row>
    <row r="11">
      <c r="A11" s="2" t="inlineStr">
        <is>
          <t>Comes with example debts. This is an estimate for planning, not financial advice. Interest is worked out monthly (APR ÷ 12).</t>
        </is>
      </c>
    </row>
    <row r="13">
      <c r="A13" s="5" t="inlineStr">
        <is>
          <t>Get the full Debt Payoff Planner</t>
        </is>
      </c>
    </row>
    <row r="14">
      <c r="A14" s="6" t="inlineStr">
        <is>
          <t>The full planner handles up to 12 debts and compares Snowball, Avalanche and minimums only,</t>
        </is>
      </c>
    </row>
    <row r="15">
      <c r="A15" s="6" t="inlineStr">
        <is>
          <t>with a dashboard and a month-by-month plan for each method.</t>
        </is>
      </c>
    </row>
    <row r="16">
      <c r="A16" s="7" t="inlineStr">
        <is>
          <t>Shop: ideasandfinds.com/shop</t>
        </is>
      </c>
    </row>
    <row r="17">
      <c r="A17" s="7" t="inlineStr">
        <is>
          <t>Etsy: www.etsy.com/listing/4588777659</t>
        </is>
      </c>
    </row>
    <row r="18">
      <c r="A18" s="7" t="inlineStr">
        <is>
          <t>Payhip: payhip.com/b/7U1QB</t>
        </is>
      </c>
    </row>
  </sheetData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2"/>
  <sheetViews>
    <sheetView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3" customWidth="1" min="3" max="3"/>
    <col width="10" customWidth="1" min="4" max="4"/>
    <col width="14" customWidth="1" min="5" max="5"/>
    <col width="13" customWidth="1" min="6" max="6"/>
    <col width="11" customWidth="1" min="7" max="7"/>
    <col width="13" customWidth="1" min="8" max="8"/>
    <col width="14" customWidth="1" min="9" max="9"/>
    <col width="32" customWidth="1" min="10" max="10"/>
  </cols>
  <sheetData>
    <row r="1">
      <c r="A1" s="8" t="inlineStr">
        <is>
          <t>Debt Payoff Lite</t>
        </is>
      </c>
    </row>
    <row r="2">
      <c r="A2" s="2" t="inlineStr">
        <is>
          <t>Yellow cells are yours. Order, payoff month and totals are calculated.</t>
        </is>
      </c>
    </row>
    <row r="4">
      <c r="A4" s="3" t="inlineStr">
        <is>
          <t>Extra payment per month</t>
        </is>
      </c>
      <c r="B4" s="9" t="n">
        <v>150</v>
      </c>
      <c r="C4" s="2" t="inlineStr">
        <is>
          <t>On top of all minimum payments.</t>
        </is>
      </c>
    </row>
    <row r="5">
      <c r="A5" s="3" t="inlineStr">
        <is>
          <t>Start month</t>
        </is>
      </c>
      <c r="B5" s="10" t="n">
        <v>46327</v>
      </c>
      <c r="C5" s="2" t="inlineStr">
        <is>
          <t>First month you pay with this plan.</t>
        </is>
      </c>
    </row>
    <row r="6">
      <c r="A6" s="3" t="inlineStr">
        <is>
          <t>Total monthly payment</t>
        </is>
      </c>
      <c r="B6" s="11">
        <f>SUM(E10:E14)+N(B4)</f>
        <v/>
      </c>
      <c r="C6" s="2" t="inlineStr">
        <is>
          <t>Stays the same every month until you are debt-free.</t>
        </is>
      </c>
    </row>
    <row r="9" ht="30" customHeight="1">
      <c r="A9" s="12" t="inlineStr">
        <is>
          <t>Debt</t>
        </is>
      </c>
      <c r="B9" s="12" t="inlineStr">
        <is>
          <t>Type</t>
        </is>
      </c>
      <c r="C9" s="12" t="inlineStr">
        <is>
          <t>Balance</t>
        </is>
      </c>
      <c r="D9" s="12" t="inlineStr">
        <is>
          <t>APR</t>
        </is>
      </c>
      <c r="E9" s="12" t="inlineStr">
        <is>
          <t>Minimum payment</t>
        </is>
      </c>
      <c r="F9" s="12" t="inlineStr">
        <is>
          <t>Interest this month</t>
        </is>
      </c>
      <c r="G9" s="12" t="inlineStr">
        <is>
          <t>Snowball order</t>
        </is>
      </c>
      <c r="H9" s="12" t="inlineStr">
        <is>
          <t>Paid off in month #</t>
        </is>
      </c>
      <c r="I9" s="12" t="inlineStr">
        <is>
          <t>Paid off (month)</t>
        </is>
      </c>
      <c r="J9" s="12" t="inlineStr">
        <is>
          <t>Check</t>
        </is>
      </c>
    </row>
    <row r="10">
      <c r="A10" s="13" t="inlineStr">
        <is>
          <t>Store card</t>
        </is>
      </c>
      <c r="B10" s="13" t="inlineStr">
        <is>
          <t>Credit card</t>
        </is>
      </c>
      <c r="C10" s="9" t="n">
        <v>450</v>
      </c>
      <c r="D10" s="14" t="n">
        <v>0.229</v>
      </c>
      <c r="E10" s="9" t="n">
        <v>35</v>
      </c>
      <c r="F10" s="15">
        <f>IF(N(C10)&lt;=0,"",ROUND(C10*N(D10)/12,2))</f>
        <v/>
      </c>
      <c r="G10" s="16">
        <f>IF(N(C10)&lt;=0,"",COUNTIFS($C$10:$C$14,"&lt;"&amp;C10,$C$10:$C$14,"&gt;0")+COUNTIF($C$10:C10,C10))</f>
        <v/>
      </c>
      <c r="H10" s="16">
        <f>IF(N(C10)&lt;=0,"",INDEX(Plan!$C$4:$G$4,1,G10))</f>
        <v/>
      </c>
      <c r="I10" s="17">
        <f>IF(ISNUMBER(H10),EDATE($B$5,H10-1),IF(H10="","",H10))</f>
        <v/>
      </c>
      <c r="J10" s="18">
        <f>IF(N(C10)&lt;=0,"",IF(N(E10)&lt;=N(F10),"Minimum does not cover the interest","OK"))</f>
        <v/>
      </c>
    </row>
    <row r="11">
      <c r="A11" s="13" t="inlineStr">
        <is>
          <t>Medical bill</t>
        </is>
      </c>
      <c r="B11" s="13" t="inlineStr">
        <is>
          <t>Medical</t>
        </is>
      </c>
      <c r="C11" s="9" t="n">
        <v>900</v>
      </c>
      <c r="D11" s="14" t="n">
        <v>0</v>
      </c>
      <c r="E11" s="9" t="n">
        <v>50</v>
      </c>
      <c r="F11" s="15">
        <f>IF(N(C11)&lt;=0,"",ROUND(C11*N(D11)/12,2))</f>
        <v/>
      </c>
      <c r="G11" s="16">
        <f>IF(N(C11)&lt;=0,"",COUNTIFS($C$10:$C$14,"&lt;"&amp;C11,$C$10:$C$14,"&gt;0")+COUNTIF($C$10:C11,C11))</f>
        <v/>
      </c>
      <c r="H11" s="16">
        <f>IF(N(C11)&lt;=0,"",INDEX(Plan!$C$4:$G$4,1,G11))</f>
        <v/>
      </c>
      <c r="I11" s="17">
        <f>IF(ISNUMBER(H11),EDATE($B$5,H11-1),IF(H11="","",H11))</f>
        <v/>
      </c>
      <c r="J11" s="18">
        <f>IF(N(C11)&lt;=0,"",IF(N(E11)&lt;=N(F11),"Minimum does not cover the interest","OK"))</f>
        <v/>
      </c>
    </row>
    <row r="12">
      <c r="A12" s="13" t="inlineStr">
        <is>
          <t>Visa card</t>
        </is>
      </c>
      <c r="B12" s="13" t="inlineStr">
        <is>
          <t>Credit card</t>
        </is>
      </c>
      <c r="C12" s="9" t="n">
        <v>2800</v>
      </c>
      <c r="D12" s="14" t="n">
        <v>0.199</v>
      </c>
      <c r="E12" s="9" t="n">
        <v>85</v>
      </c>
      <c r="F12" s="15">
        <f>IF(N(C12)&lt;=0,"",ROUND(C12*N(D12)/12,2))</f>
        <v/>
      </c>
      <c r="G12" s="16">
        <f>IF(N(C12)&lt;=0,"",COUNTIFS($C$10:$C$14,"&lt;"&amp;C12,$C$10:$C$14,"&gt;0")+COUNTIF($C$10:C12,C12))</f>
        <v/>
      </c>
      <c r="H12" s="16">
        <f>IF(N(C12)&lt;=0,"",INDEX(Plan!$C$4:$G$4,1,G12))</f>
        <v/>
      </c>
      <c r="I12" s="17">
        <f>IF(ISNUMBER(H12),EDATE($B$5,H12-1),IF(H12="","",H12))</f>
        <v/>
      </c>
      <c r="J12" s="18">
        <f>IF(N(C12)&lt;=0,"",IF(N(E12)&lt;=N(F12),"Minimum does not cover the interest","OK"))</f>
        <v/>
      </c>
    </row>
    <row r="13">
      <c r="A13" s="13" t="inlineStr">
        <is>
          <t>Car loan</t>
        </is>
      </c>
      <c r="B13" s="13" t="inlineStr">
        <is>
          <t>Loan</t>
        </is>
      </c>
      <c r="C13" s="9" t="n">
        <v>7400</v>
      </c>
      <c r="D13" s="14" t="n">
        <v>0.06900000000000001</v>
      </c>
      <c r="E13" s="9" t="n">
        <v>210</v>
      </c>
      <c r="F13" s="15">
        <f>IF(N(C13)&lt;=0,"",ROUND(C13*N(D13)/12,2))</f>
        <v/>
      </c>
      <c r="G13" s="16">
        <f>IF(N(C13)&lt;=0,"",COUNTIFS($C$10:$C$14,"&lt;"&amp;C13,$C$10:$C$14,"&gt;0")+COUNTIF($C$10:C13,C13))</f>
        <v/>
      </c>
      <c r="H13" s="16">
        <f>IF(N(C13)&lt;=0,"",INDEX(Plan!$C$4:$G$4,1,G13))</f>
        <v/>
      </c>
      <c r="I13" s="17">
        <f>IF(ISNUMBER(H13),EDATE($B$5,H13-1),IF(H13="","",H13))</f>
        <v/>
      </c>
      <c r="J13" s="18">
        <f>IF(N(C13)&lt;=0,"",IF(N(E13)&lt;=N(F13),"Minimum does not cover the interest","OK"))</f>
        <v/>
      </c>
    </row>
    <row r="14">
      <c r="A14" s="13" t="n"/>
      <c r="B14" s="13" t="n"/>
      <c r="C14" s="9" t="n"/>
      <c r="D14" s="14" t="n"/>
      <c r="E14" s="9" t="n"/>
      <c r="F14" s="15">
        <f>IF(N(C14)&lt;=0,"",ROUND(C14*N(D14)/12,2))</f>
        <v/>
      </c>
      <c r="G14" s="16">
        <f>IF(N(C14)&lt;=0,"",COUNTIFS($C$10:$C$14,"&lt;"&amp;C14,$C$10:$C$14,"&gt;0")+COUNTIF($C$10:C14,C14))</f>
        <v/>
      </c>
      <c r="H14" s="16">
        <f>IF(N(C14)&lt;=0,"",INDEX(Plan!$C$4:$G$4,1,G14))</f>
        <v/>
      </c>
      <c r="I14" s="17">
        <f>IF(ISNUMBER(H14),EDATE($B$5,H14-1),IF(H14="","",H14))</f>
        <v/>
      </c>
      <c r="J14" s="18">
        <f>IF(N(C14)&lt;=0,"",IF(N(E14)&lt;=N(F14),"Minimum does not cover the interest","OK"))</f>
        <v/>
      </c>
    </row>
    <row r="15">
      <c r="A15" s="3" t="inlineStr">
        <is>
          <t>Total</t>
        </is>
      </c>
      <c r="C15" s="11">
        <f>SUM(C10:C14)</f>
        <v/>
      </c>
      <c r="E15" s="11">
        <f>SUM(E10:E14)</f>
        <v/>
      </c>
    </row>
    <row r="17">
      <c r="A17" s="12" t="inlineStr">
        <is>
          <t>Your plan</t>
        </is>
      </c>
      <c r="B17" s="12" t="inlineStr">
        <is>
          <t>Result</t>
        </is>
      </c>
      <c r="D17" s="5" t="inlineStr">
        <is>
          <t>Get the full Debt Payoff Planner</t>
        </is>
      </c>
    </row>
    <row r="18">
      <c r="A18" s="3" t="inlineStr">
        <is>
          <t>Debt-free in (months)</t>
        </is>
      </c>
      <c r="B18" s="19">
        <f>Plan!B4</f>
        <v/>
      </c>
      <c r="D18" s="6" t="inlineStr">
        <is>
          <t>Up to 12 debts, Snowball vs Avalanche vs minimums only,</t>
        </is>
      </c>
    </row>
    <row r="19">
      <c r="A19" s="3" t="inlineStr">
        <is>
          <t>Debt-free month</t>
        </is>
      </c>
      <c r="B19" s="20">
        <f>Plan!B5</f>
        <v/>
      </c>
      <c r="D19" s="6" t="inlineStr">
        <is>
          <t>a dashboard and month-by-month plans.</t>
        </is>
      </c>
    </row>
    <row r="20">
      <c r="A20" s="3" t="inlineStr">
        <is>
          <t>Total interest you pay</t>
        </is>
      </c>
      <c r="B20" s="11">
        <f>Plan!B6</f>
        <v/>
      </c>
      <c r="D20" s="7" t="inlineStr">
        <is>
          <t>Shop: ideasandfinds.com/shop</t>
        </is>
      </c>
    </row>
    <row r="21">
      <c r="A21" s="3" t="inlineStr">
        <is>
          <t>Total you pay</t>
        </is>
      </c>
      <c r="B21" s="11">
        <f>Plan!B7</f>
        <v/>
      </c>
      <c r="D21" s="7" t="inlineStr">
        <is>
          <t>Etsy: www.etsy.com/listing/4588777659</t>
        </is>
      </c>
    </row>
    <row r="22">
      <c r="D22" s="7" t="inlineStr">
        <is>
          <t>Payhip: payhip.com/b/7U1QB</t>
        </is>
      </c>
    </row>
  </sheetData>
  <hyperlinks>
    <hyperlink xmlns:r="http://schemas.openxmlformats.org/officeDocument/2006/relationships" ref="D20" r:id="rId1"/>
    <hyperlink xmlns:r="http://schemas.openxmlformats.org/officeDocument/2006/relationships" ref="D21" r:id="rId2"/>
    <hyperlink xmlns:r="http://schemas.openxmlformats.org/officeDocument/2006/relationships" ref="D22" r:id="rId3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U371"/>
  <sheetViews>
    <sheetView workbookViewId="0">
      <pane xSplit="2" ySplit="11" topLeftCell="C1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2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</cols>
  <sheetData>
    <row r="1">
      <c r="A1" s="21" t="inlineStr">
        <is>
          <t>Snowball plan: month by month</t>
        </is>
      </c>
    </row>
    <row r="2">
      <c r="A2" s="2" t="inlineStr">
        <is>
          <t>Nothing to type here. Smallest balance first; freed-up payments roll onto the next debt.</t>
        </is>
      </c>
    </row>
    <row r="3">
      <c r="A3" t="inlineStr">
        <is>
          <t>Debt (in order)</t>
        </is>
      </c>
      <c r="B3" s="3" t="inlineStr">
        <is>
          <t>Summary</t>
        </is>
      </c>
      <c r="C3" s="3">
        <f>IFERROR(INDEX(Debts!$A$10:$A$14,MATCH(1,Debts!$G$10:$G$14,0)),"")</f>
        <v/>
      </c>
      <c r="D3" s="3">
        <f>IFERROR(INDEX(Debts!$A$10:$A$14,MATCH(2,Debts!$G$10:$G$14,0)),"")</f>
        <v/>
      </c>
      <c r="E3" s="3">
        <f>IFERROR(INDEX(Debts!$A$10:$A$14,MATCH(3,Debts!$G$10:$G$14,0)),"")</f>
        <v/>
      </c>
      <c r="F3" s="3">
        <f>IFERROR(INDEX(Debts!$A$10:$A$14,MATCH(4,Debts!$G$10:$G$14,0)),"")</f>
        <v/>
      </c>
      <c r="G3" s="3">
        <f>IFERROR(INDEX(Debts!$A$10:$A$14,MATCH(5,Debts!$G$10:$G$14,0)),"")</f>
        <v/>
      </c>
    </row>
    <row r="4">
      <c r="A4" t="inlineStr">
        <is>
          <t>Paid off in month # (per debt) / months to debt-free (B4)</t>
        </is>
      </c>
      <c r="B4">
        <f>IF(SUM(C6:G6)&lt;=0,"",IF(SUM(I371,L371,O371,R371,U371)&gt;0.005,"30+ years",MAX(C4:G4)))</f>
        <v/>
      </c>
      <c r="C4">
        <f>IF(C6&lt;=0,"",IF(I371&gt;0.005,"30+ years",COUNTIF(I12:I371,"&gt;0.005")+1))</f>
        <v/>
      </c>
      <c r="D4">
        <f>IF(D6&lt;=0,"",IF(L371&gt;0.005,"30+ years",COUNTIF(L12:L371,"&gt;0.005")+1))</f>
        <v/>
      </c>
      <c r="E4">
        <f>IF(E6&lt;=0,"",IF(O371&gt;0.005,"30+ years",COUNTIF(O12:O371,"&gt;0.005")+1))</f>
        <v/>
      </c>
      <c r="F4">
        <f>IF(F6&lt;=0,"",IF(R371&gt;0.005,"30+ years",COUNTIF(R12:R371,"&gt;0.005")+1))</f>
        <v/>
      </c>
      <c r="G4">
        <f>IF(G6&lt;=0,"",IF(U371&gt;0.005,"30+ years",COUNTIF(U12:U371,"&gt;0.005")+1))</f>
        <v/>
      </c>
    </row>
    <row r="5">
      <c r="A5" t="inlineStr">
        <is>
          <t>Start balance</t>
        </is>
      </c>
      <c r="B5" s="22">
        <f>IF(ISNUMBER(B4),EDATE(Debts!$B$5,B4-1),"")</f>
        <v/>
      </c>
      <c r="C5" s="23">
        <f>IFERROR(INDEX(Debts!$C$10:$C$14,MATCH(1,Debts!$G$10:$G$14,0)),0)</f>
        <v/>
      </c>
      <c r="D5" s="23">
        <f>IFERROR(INDEX(Debts!$C$10:$C$14,MATCH(2,Debts!$G$10:$G$14,0)),0)</f>
        <v/>
      </c>
      <c r="E5" s="23">
        <f>IFERROR(INDEX(Debts!$C$10:$C$14,MATCH(3,Debts!$G$10:$G$14,0)),0)</f>
        <v/>
      </c>
      <c r="F5" s="23">
        <f>IFERROR(INDEX(Debts!$C$10:$C$14,MATCH(4,Debts!$G$10:$G$14,0)),0)</f>
        <v/>
      </c>
      <c r="G5" s="23">
        <f>IFERROR(INDEX(Debts!$C$10:$C$14,MATCH(5,Debts!$G$10:$G$14,0)),0)</f>
        <v/>
      </c>
    </row>
    <row r="6">
      <c r="A6" t="inlineStr">
        <is>
          <t>Balance used</t>
        </is>
      </c>
      <c r="B6" s="23">
        <f>B7-SUM(C6:G6)</f>
        <v/>
      </c>
      <c r="C6" s="23">
        <f>N(C5)</f>
        <v/>
      </c>
      <c r="D6" s="23">
        <f>N(D5)</f>
        <v/>
      </c>
      <c r="E6" s="23">
        <f>N(E5)</f>
        <v/>
      </c>
      <c r="F6" s="23">
        <f>N(F5)</f>
        <v/>
      </c>
      <c r="G6" s="23">
        <f>N(G5)</f>
        <v/>
      </c>
    </row>
    <row r="7">
      <c r="A7" t="inlineStr">
        <is>
          <t>APR</t>
        </is>
      </c>
      <c r="B7" s="23">
        <f>SUM(D12:D371)</f>
        <v/>
      </c>
      <c r="C7" s="24">
        <f>IFERROR(N(INDEX(Debts!$D$10:$D$14,MATCH(1,Debts!$G$10:$G$14,0))),0)</f>
        <v/>
      </c>
      <c r="D7" s="24">
        <f>IFERROR(N(INDEX(Debts!$D$10:$D$14,MATCH(2,Debts!$G$10:$G$14,0))),0)</f>
        <v/>
      </c>
      <c r="E7" s="24">
        <f>IFERROR(N(INDEX(Debts!$D$10:$D$14,MATCH(3,Debts!$G$10:$G$14,0))),0)</f>
        <v/>
      </c>
      <c r="F7" s="24">
        <f>IFERROR(N(INDEX(Debts!$D$10:$D$14,MATCH(4,Debts!$G$10:$G$14,0))),0)</f>
        <v/>
      </c>
      <c r="G7" s="24">
        <f>IFERROR(N(INDEX(Debts!$D$10:$D$14,MATCH(5,Debts!$G$10:$G$14,0))),0)</f>
        <v/>
      </c>
    </row>
    <row r="8">
      <c r="A8" t="inlineStr">
        <is>
          <t>Minimum</t>
        </is>
      </c>
      <c r="C8" s="23">
        <f>IFERROR(N(INDEX(Debts!$E$10:$E$14,MATCH(1,Debts!$G$10:$G$14,0))),0)</f>
        <v/>
      </c>
      <c r="D8" s="23">
        <f>IFERROR(N(INDEX(Debts!$E$10:$E$14,MATCH(2,Debts!$G$10:$G$14,0))),0)</f>
        <v/>
      </c>
      <c r="E8" s="23">
        <f>IFERROR(N(INDEX(Debts!$E$10:$E$14,MATCH(3,Debts!$G$10:$G$14,0))),0)</f>
        <v/>
      </c>
      <c r="F8" s="23">
        <f>IFERROR(N(INDEX(Debts!$E$10:$E$14,MATCH(4,Debts!$G$10:$G$14,0))),0)</f>
        <v/>
      </c>
      <c r="G8" s="23">
        <f>IFERROR(N(INDEX(Debts!$E$10:$E$14,MATCH(5,Debts!$G$10:$G$14,0))),0)</f>
        <v/>
      </c>
    </row>
    <row r="9">
      <c r="A9" s="2" t="inlineStr">
        <is>
          <t>B6 = total interest, B7 = total paid</t>
        </is>
      </c>
    </row>
    <row r="11">
      <c r="A11" s="12" t="inlineStr">
        <is>
          <t>Month #</t>
        </is>
      </c>
      <c r="B11" s="12" t="inlineStr">
        <is>
          <t>Month</t>
        </is>
      </c>
      <c r="C11" s="12" t="inlineStr">
        <is>
          <t>Extra pool</t>
        </is>
      </c>
      <c r="D11" s="12" t="inlineStr">
        <is>
          <t>Paid this month</t>
        </is>
      </c>
      <c r="E11" s="12" t="inlineStr">
        <is>
          <t>Balance left</t>
        </is>
      </c>
      <c r="F11" s="12" t="inlineStr"/>
      <c r="G11" s="12" t="inlineStr">
        <is>
          <t>#1 due</t>
        </is>
      </c>
      <c r="H11" s="12" t="inlineStr">
        <is>
          <t>#1 paid</t>
        </is>
      </c>
      <c r="I11" s="12" t="inlineStr">
        <is>
          <t>#1 balance</t>
        </is>
      </c>
      <c r="J11" s="12" t="inlineStr">
        <is>
          <t>#2 due</t>
        </is>
      </c>
      <c r="K11" s="12" t="inlineStr">
        <is>
          <t>#2 paid</t>
        </is>
      </c>
      <c r="L11" s="12" t="inlineStr">
        <is>
          <t>#2 balance</t>
        </is>
      </c>
      <c r="M11" s="12" t="inlineStr">
        <is>
          <t>#3 due</t>
        </is>
      </c>
      <c r="N11" s="12" t="inlineStr">
        <is>
          <t>#3 paid</t>
        </is>
      </c>
      <c r="O11" s="12" t="inlineStr">
        <is>
          <t>#3 balance</t>
        </is>
      </c>
      <c r="P11" s="12" t="inlineStr">
        <is>
          <t>#4 due</t>
        </is>
      </c>
      <c r="Q11" s="12" t="inlineStr">
        <is>
          <t>#4 paid</t>
        </is>
      </c>
      <c r="R11" s="12" t="inlineStr">
        <is>
          <t>#4 balance</t>
        </is>
      </c>
      <c r="S11" s="12" t="inlineStr">
        <is>
          <t>#5 due</t>
        </is>
      </c>
      <c r="T11" s="12" t="inlineStr">
        <is>
          <t>#5 paid</t>
        </is>
      </c>
      <c r="U11" s="12" t="inlineStr">
        <is>
          <t>#5 balance</t>
        </is>
      </c>
    </row>
    <row r="12">
      <c r="A12" t="n">
        <v>1</v>
      </c>
      <c r="B12" s="22">
        <f>EDATE(Debts!$B$5,0)</f>
        <v/>
      </c>
      <c r="C12" s="23">
        <f>MAX(0,Debts!$B$6-(MIN(C$8,G12)+MIN(D$8,J12)+MIN(E$8,M12)+MIN(F$8,P12)+MIN(G$8,S12)))</f>
        <v/>
      </c>
      <c r="D12" s="23">
        <f>H12+K12+N12+Q12+T12</f>
        <v/>
      </c>
      <c r="E12" s="23">
        <f>I12+L12+O12+R12+U12</f>
        <v/>
      </c>
      <c r="F12" s="23" t="n"/>
      <c r="G12" s="23">
        <f>ROUND(C$6*(1+C$7/12),2)</f>
        <v/>
      </c>
      <c r="H12" s="23">
        <f>MIN(C$8,G12)+MAX(0,MIN(G12-MIN(C$8,G12),$C12-(0)))</f>
        <v/>
      </c>
      <c r="I12" s="23">
        <f>ROUND(G12-H12,2)</f>
        <v/>
      </c>
      <c r="J12" s="23">
        <f>ROUND(D$6*(1+D$7/12),2)</f>
        <v/>
      </c>
      <c r="K12" s="23">
        <f>MIN(D$8,J12)+MAX(0,MIN(J12-MIN(D$8,J12),$C12-((H12-MIN(C$8,G12)))))</f>
        <v/>
      </c>
      <c r="L12" s="23">
        <f>ROUND(J12-K12,2)</f>
        <v/>
      </c>
      <c r="M12" s="23">
        <f>ROUND(E$6*(1+E$7/12),2)</f>
        <v/>
      </c>
      <c r="N12" s="23">
        <f>MIN(E$8,M12)+MAX(0,MIN(M12-MIN(E$8,M12),$C12-((H12-MIN(C$8,G12))+(K12-MIN(D$8,J12)))))</f>
        <v/>
      </c>
      <c r="O12" s="23">
        <f>ROUND(M12-N12,2)</f>
        <v/>
      </c>
      <c r="P12" s="23">
        <f>ROUND(F$6*(1+F$7/12),2)</f>
        <v/>
      </c>
      <c r="Q12" s="23">
        <f>MIN(F$8,P12)+MAX(0,MIN(P12-MIN(F$8,P12),$C12-((H12-MIN(C$8,G12))+(K12-MIN(D$8,J12))+(N12-MIN(E$8,M12)))))</f>
        <v/>
      </c>
      <c r="R12" s="23">
        <f>ROUND(P12-Q12,2)</f>
        <v/>
      </c>
      <c r="S12" s="23">
        <f>ROUND(G$6*(1+G$7/12),2)</f>
        <v/>
      </c>
      <c r="T12" s="23">
        <f>MIN(G$8,S12)+MAX(0,MIN(S12-MIN(G$8,S12),$C12-((H12-MIN(C$8,G12))+(K12-MIN(D$8,J12))+(N12-MIN(E$8,M12))+(Q12-MIN(F$8,P12)))))</f>
        <v/>
      </c>
      <c r="U12" s="23">
        <f>ROUND(S12-T12,2)</f>
        <v/>
      </c>
    </row>
    <row r="13">
      <c r="A13" t="n">
        <v>2</v>
      </c>
      <c r="B13" s="22">
        <f>EDATE(Debts!$B$5,1)</f>
        <v/>
      </c>
      <c r="C13" s="23">
        <f>MAX(0,Debts!$B$6-(MIN(C$8,G13)+MIN(D$8,J13)+MIN(E$8,M13)+MIN(F$8,P13)+MIN(G$8,S13)))</f>
        <v/>
      </c>
      <c r="D13" s="23">
        <f>H13+K13+N13+Q13+T13</f>
        <v/>
      </c>
      <c r="E13" s="23">
        <f>I13+L13+O13+R13+U13</f>
        <v/>
      </c>
      <c r="F13" s="23" t="n"/>
      <c r="G13" s="23">
        <f>ROUND(I12*(1+C$7/12),2)</f>
        <v/>
      </c>
      <c r="H13" s="23">
        <f>MIN(C$8,G13)+MAX(0,MIN(G13-MIN(C$8,G13),$C13-(0)))</f>
        <v/>
      </c>
      <c r="I13" s="23">
        <f>ROUND(G13-H13,2)</f>
        <v/>
      </c>
      <c r="J13" s="23">
        <f>ROUND(L12*(1+D$7/12),2)</f>
        <v/>
      </c>
      <c r="K13" s="23">
        <f>MIN(D$8,J13)+MAX(0,MIN(J13-MIN(D$8,J13),$C13-((H13-MIN(C$8,G13)))))</f>
        <v/>
      </c>
      <c r="L13" s="23">
        <f>ROUND(J13-K13,2)</f>
        <v/>
      </c>
      <c r="M13" s="23">
        <f>ROUND(O12*(1+E$7/12),2)</f>
        <v/>
      </c>
      <c r="N13" s="23">
        <f>MIN(E$8,M13)+MAX(0,MIN(M13-MIN(E$8,M13),$C13-((H13-MIN(C$8,G13))+(K13-MIN(D$8,J13)))))</f>
        <v/>
      </c>
      <c r="O13" s="23">
        <f>ROUND(M13-N13,2)</f>
        <v/>
      </c>
      <c r="P13" s="23">
        <f>ROUND(R12*(1+F$7/12),2)</f>
        <v/>
      </c>
      <c r="Q13" s="23">
        <f>MIN(F$8,P13)+MAX(0,MIN(P13-MIN(F$8,P13),$C13-((H13-MIN(C$8,G13))+(K13-MIN(D$8,J13))+(N13-MIN(E$8,M13)))))</f>
        <v/>
      </c>
      <c r="R13" s="23">
        <f>ROUND(P13-Q13,2)</f>
        <v/>
      </c>
      <c r="S13" s="23">
        <f>ROUND(U12*(1+G$7/12),2)</f>
        <v/>
      </c>
      <c r="T13" s="23">
        <f>MIN(G$8,S13)+MAX(0,MIN(S13-MIN(G$8,S13),$C13-((H13-MIN(C$8,G13))+(K13-MIN(D$8,J13))+(N13-MIN(E$8,M13))+(Q13-MIN(F$8,P13)))))</f>
        <v/>
      </c>
      <c r="U13" s="23">
        <f>ROUND(S13-T13,2)</f>
        <v/>
      </c>
    </row>
    <row r="14">
      <c r="A14" t="n">
        <v>3</v>
      </c>
      <c r="B14" s="22">
        <f>EDATE(Debts!$B$5,2)</f>
        <v/>
      </c>
      <c r="C14" s="23">
        <f>MAX(0,Debts!$B$6-(MIN(C$8,G14)+MIN(D$8,J14)+MIN(E$8,M14)+MIN(F$8,P14)+MIN(G$8,S14)))</f>
        <v/>
      </c>
      <c r="D14" s="23">
        <f>H14+K14+N14+Q14+T14</f>
        <v/>
      </c>
      <c r="E14" s="23">
        <f>I14+L14+O14+R14+U14</f>
        <v/>
      </c>
      <c r="F14" s="23" t="n"/>
      <c r="G14" s="23">
        <f>ROUND(I13*(1+C$7/12),2)</f>
        <v/>
      </c>
      <c r="H14" s="23">
        <f>MIN(C$8,G14)+MAX(0,MIN(G14-MIN(C$8,G14),$C14-(0)))</f>
        <v/>
      </c>
      <c r="I14" s="23">
        <f>ROUND(G14-H14,2)</f>
        <v/>
      </c>
      <c r="J14" s="23">
        <f>ROUND(L13*(1+D$7/12),2)</f>
        <v/>
      </c>
      <c r="K14" s="23">
        <f>MIN(D$8,J14)+MAX(0,MIN(J14-MIN(D$8,J14),$C14-((H14-MIN(C$8,G14)))))</f>
        <v/>
      </c>
      <c r="L14" s="23">
        <f>ROUND(J14-K14,2)</f>
        <v/>
      </c>
      <c r="M14" s="23">
        <f>ROUND(O13*(1+E$7/12),2)</f>
        <v/>
      </c>
      <c r="N14" s="23">
        <f>MIN(E$8,M14)+MAX(0,MIN(M14-MIN(E$8,M14),$C14-((H14-MIN(C$8,G14))+(K14-MIN(D$8,J14)))))</f>
        <v/>
      </c>
      <c r="O14" s="23">
        <f>ROUND(M14-N14,2)</f>
        <v/>
      </c>
      <c r="P14" s="23">
        <f>ROUND(R13*(1+F$7/12),2)</f>
        <v/>
      </c>
      <c r="Q14" s="23">
        <f>MIN(F$8,P14)+MAX(0,MIN(P14-MIN(F$8,P14),$C14-((H14-MIN(C$8,G14))+(K14-MIN(D$8,J14))+(N14-MIN(E$8,M14)))))</f>
        <v/>
      </c>
      <c r="R14" s="23">
        <f>ROUND(P14-Q14,2)</f>
        <v/>
      </c>
      <c r="S14" s="23">
        <f>ROUND(U13*(1+G$7/12),2)</f>
        <v/>
      </c>
      <c r="T14" s="23">
        <f>MIN(G$8,S14)+MAX(0,MIN(S14-MIN(G$8,S14),$C14-((H14-MIN(C$8,G14))+(K14-MIN(D$8,J14))+(N14-MIN(E$8,M14))+(Q14-MIN(F$8,P14)))))</f>
        <v/>
      </c>
      <c r="U14" s="23">
        <f>ROUND(S14-T14,2)</f>
        <v/>
      </c>
    </row>
    <row r="15">
      <c r="A15" t="n">
        <v>4</v>
      </c>
      <c r="B15" s="22">
        <f>EDATE(Debts!$B$5,3)</f>
        <v/>
      </c>
      <c r="C15" s="23">
        <f>MAX(0,Debts!$B$6-(MIN(C$8,G15)+MIN(D$8,J15)+MIN(E$8,M15)+MIN(F$8,P15)+MIN(G$8,S15)))</f>
        <v/>
      </c>
      <c r="D15" s="23">
        <f>H15+K15+N15+Q15+T15</f>
        <v/>
      </c>
      <c r="E15" s="23">
        <f>I15+L15+O15+R15+U15</f>
        <v/>
      </c>
      <c r="F15" s="23" t="n"/>
      <c r="G15" s="23">
        <f>ROUND(I14*(1+C$7/12),2)</f>
        <v/>
      </c>
      <c r="H15" s="23">
        <f>MIN(C$8,G15)+MAX(0,MIN(G15-MIN(C$8,G15),$C15-(0)))</f>
        <v/>
      </c>
      <c r="I15" s="23">
        <f>ROUND(G15-H15,2)</f>
        <v/>
      </c>
      <c r="J15" s="23">
        <f>ROUND(L14*(1+D$7/12),2)</f>
        <v/>
      </c>
      <c r="K15" s="23">
        <f>MIN(D$8,J15)+MAX(0,MIN(J15-MIN(D$8,J15),$C15-((H15-MIN(C$8,G15)))))</f>
        <v/>
      </c>
      <c r="L15" s="23">
        <f>ROUND(J15-K15,2)</f>
        <v/>
      </c>
      <c r="M15" s="23">
        <f>ROUND(O14*(1+E$7/12),2)</f>
        <v/>
      </c>
      <c r="N15" s="23">
        <f>MIN(E$8,M15)+MAX(0,MIN(M15-MIN(E$8,M15),$C15-((H15-MIN(C$8,G15))+(K15-MIN(D$8,J15)))))</f>
        <v/>
      </c>
      <c r="O15" s="23">
        <f>ROUND(M15-N15,2)</f>
        <v/>
      </c>
      <c r="P15" s="23">
        <f>ROUND(R14*(1+F$7/12),2)</f>
        <v/>
      </c>
      <c r="Q15" s="23">
        <f>MIN(F$8,P15)+MAX(0,MIN(P15-MIN(F$8,P15),$C15-((H15-MIN(C$8,G15))+(K15-MIN(D$8,J15))+(N15-MIN(E$8,M15)))))</f>
        <v/>
      </c>
      <c r="R15" s="23">
        <f>ROUND(P15-Q15,2)</f>
        <v/>
      </c>
      <c r="S15" s="23">
        <f>ROUND(U14*(1+G$7/12),2)</f>
        <v/>
      </c>
      <c r="T15" s="23">
        <f>MIN(G$8,S15)+MAX(0,MIN(S15-MIN(G$8,S15),$C15-((H15-MIN(C$8,G15))+(K15-MIN(D$8,J15))+(N15-MIN(E$8,M15))+(Q15-MIN(F$8,P15)))))</f>
        <v/>
      </c>
      <c r="U15" s="23">
        <f>ROUND(S15-T15,2)</f>
        <v/>
      </c>
    </row>
    <row r="16">
      <c r="A16" t="n">
        <v>5</v>
      </c>
      <c r="B16" s="22">
        <f>EDATE(Debts!$B$5,4)</f>
        <v/>
      </c>
      <c r="C16" s="23">
        <f>MAX(0,Debts!$B$6-(MIN(C$8,G16)+MIN(D$8,J16)+MIN(E$8,M16)+MIN(F$8,P16)+MIN(G$8,S16)))</f>
        <v/>
      </c>
      <c r="D16" s="23">
        <f>H16+K16+N16+Q16+T16</f>
        <v/>
      </c>
      <c r="E16" s="23">
        <f>I16+L16+O16+R16+U16</f>
        <v/>
      </c>
      <c r="F16" s="23" t="n"/>
      <c r="G16" s="23">
        <f>ROUND(I15*(1+C$7/12),2)</f>
        <v/>
      </c>
      <c r="H16" s="23">
        <f>MIN(C$8,G16)+MAX(0,MIN(G16-MIN(C$8,G16),$C16-(0)))</f>
        <v/>
      </c>
      <c r="I16" s="23">
        <f>ROUND(G16-H16,2)</f>
        <v/>
      </c>
      <c r="J16" s="23">
        <f>ROUND(L15*(1+D$7/12),2)</f>
        <v/>
      </c>
      <c r="K16" s="23">
        <f>MIN(D$8,J16)+MAX(0,MIN(J16-MIN(D$8,J16),$C16-((H16-MIN(C$8,G16)))))</f>
        <v/>
      </c>
      <c r="L16" s="23">
        <f>ROUND(J16-K16,2)</f>
        <v/>
      </c>
      <c r="M16" s="23">
        <f>ROUND(O15*(1+E$7/12),2)</f>
        <v/>
      </c>
      <c r="N16" s="23">
        <f>MIN(E$8,M16)+MAX(0,MIN(M16-MIN(E$8,M16),$C16-((H16-MIN(C$8,G16))+(K16-MIN(D$8,J16)))))</f>
        <v/>
      </c>
      <c r="O16" s="23">
        <f>ROUND(M16-N16,2)</f>
        <v/>
      </c>
      <c r="P16" s="23">
        <f>ROUND(R15*(1+F$7/12),2)</f>
        <v/>
      </c>
      <c r="Q16" s="23">
        <f>MIN(F$8,P16)+MAX(0,MIN(P16-MIN(F$8,P16),$C16-((H16-MIN(C$8,G16))+(K16-MIN(D$8,J16))+(N16-MIN(E$8,M16)))))</f>
        <v/>
      </c>
      <c r="R16" s="23">
        <f>ROUND(P16-Q16,2)</f>
        <v/>
      </c>
      <c r="S16" s="23">
        <f>ROUND(U15*(1+G$7/12),2)</f>
        <v/>
      </c>
      <c r="T16" s="23">
        <f>MIN(G$8,S16)+MAX(0,MIN(S16-MIN(G$8,S16),$C16-((H16-MIN(C$8,G16))+(K16-MIN(D$8,J16))+(N16-MIN(E$8,M16))+(Q16-MIN(F$8,P16)))))</f>
        <v/>
      </c>
      <c r="U16" s="23">
        <f>ROUND(S16-T16,2)</f>
        <v/>
      </c>
    </row>
    <row r="17">
      <c r="A17" t="n">
        <v>6</v>
      </c>
      <c r="B17" s="22">
        <f>EDATE(Debts!$B$5,5)</f>
        <v/>
      </c>
      <c r="C17" s="23">
        <f>MAX(0,Debts!$B$6-(MIN(C$8,G17)+MIN(D$8,J17)+MIN(E$8,M17)+MIN(F$8,P17)+MIN(G$8,S17)))</f>
        <v/>
      </c>
      <c r="D17" s="23">
        <f>H17+K17+N17+Q17+T17</f>
        <v/>
      </c>
      <c r="E17" s="23">
        <f>I17+L17+O17+R17+U17</f>
        <v/>
      </c>
      <c r="F17" s="23" t="n"/>
      <c r="G17" s="23">
        <f>ROUND(I16*(1+C$7/12),2)</f>
        <v/>
      </c>
      <c r="H17" s="23">
        <f>MIN(C$8,G17)+MAX(0,MIN(G17-MIN(C$8,G17),$C17-(0)))</f>
        <v/>
      </c>
      <c r="I17" s="23">
        <f>ROUND(G17-H17,2)</f>
        <v/>
      </c>
      <c r="J17" s="23">
        <f>ROUND(L16*(1+D$7/12),2)</f>
        <v/>
      </c>
      <c r="K17" s="23">
        <f>MIN(D$8,J17)+MAX(0,MIN(J17-MIN(D$8,J17),$C17-((H17-MIN(C$8,G17)))))</f>
        <v/>
      </c>
      <c r="L17" s="23">
        <f>ROUND(J17-K17,2)</f>
        <v/>
      </c>
      <c r="M17" s="23">
        <f>ROUND(O16*(1+E$7/12),2)</f>
        <v/>
      </c>
      <c r="N17" s="23">
        <f>MIN(E$8,M17)+MAX(0,MIN(M17-MIN(E$8,M17),$C17-((H17-MIN(C$8,G17))+(K17-MIN(D$8,J17)))))</f>
        <v/>
      </c>
      <c r="O17" s="23">
        <f>ROUND(M17-N17,2)</f>
        <v/>
      </c>
      <c r="P17" s="23">
        <f>ROUND(R16*(1+F$7/12),2)</f>
        <v/>
      </c>
      <c r="Q17" s="23">
        <f>MIN(F$8,P17)+MAX(0,MIN(P17-MIN(F$8,P17),$C17-((H17-MIN(C$8,G17))+(K17-MIN(D$8,J17))+(N17-MIN(E$8,M17)))))</f>
        <v/>
      </c>
      <c r="R17" s="23">
        <f>ROUND(P17-Q17,2)</f>
        <v/>
      </c>
      <c r="S17" s="23">
        <f>ROUND(U16*(1+G$7/12),2)</f>
        <v/>
      </c>
      <c r="T17" s="23">
        <f>MIN(G$8,S17)+MAX(0,MIN(S17-MIN(G$8,S17),$C17-((H17-MIN(C$8,G17))+(K17-MIN(D$8,J17))+(N17-MIN(E$8,M17))+(Q17-MIN(F$8,P17)))))</f>
        <v/>
      </c>
      <c r="U17" s="23">
        <f>ROUND(S17-T17,2)</f>
        <v/>
      </c>
    </row>
    <row r="18">
      <c r="A18" t="n">
        <v>7</v>
      </c>
      <c r="B18" s="22">
        <f>EDATE(Debts!$B$5,6)</f>
        <v/>
      </c>
      <c r="C18" s="23">
        <f>MAX(0,Debts!$B$6-(MIN(C$8,G18)+MIN(D$8,J18)+MIN(E$8,M18)+MIN(F$8,P18)+MIN(G$8,S18)))</f>
        <v/>
      </c>
      <c r="D18" s="23">
        <f>H18+K18+N18+Q18+T18</f>
        <v/>
      </c>
      <c r="E18" s="23">
        <f>I18+L18+O18+R18+U18</f>
        <v/>
      </c>
      <c r="F18" s="23" t="n"/>
      <c r="G18" s="23">
        <f>ROUND(I17*(1+C$7/12),2)</f>
        <v/>
      </c>
      <c r="H18" s="23">
        <f>MIN(C$8,G18)+MAX(0,MIN(G18-MIN(C$8,G18),$C18-(0)))</f>
        <v/>
      </c>
      <c r="I18" s="23">
        <f>ROUND(G18-H18,2)</f>
        <v/>
      </c>
      <c r="J18" s="23">
        <f>ROUND(L17*(1+D$7/12),2)</f>
        <v/>
      </c>
      <c r="K18" s="23">
        <f>MIN(D$8,J18)+MAX(0,MIN(J18-MIN(D$8,J18),$C18-((H18-MIN(C$8,G18)))))</f>
        <v/>
      </c>
      <c r="L18" s="23">
        <f>ROUND(J18-K18,2)</f>
        <v/>
      </c>
      <c r="M18" s="23">
        <f>ROUND(O17*(1+E$7/12),2)</f>
        <v/>
      </c>
      <c r="N18" s="23">
        <f>MIN(E$8,M18)+MAX(0,MIN(M18-MIN(E$8,M18),$C18-((H18-MIN(C$8,G18))+(K18-MIN(D$8,J18)))))</f>
        <v/>
      </c>
      <c r="O18" s="23">
        <f>ROUND(M18-N18,2)</f>
        <v/>
      </c>
      <c r="P18" s="23">
        <f>ROUND(R17*(1+F$7/12),2)</f>
        <v/>
      </c>
      <c r="Q18" s="23">
        <f>MIN(F$8,P18)+MAX(0,MIN(P18-MIN(F$8,P18),$C18-((H18-MIN(C$8,G18))+(K18-MIN(D$8,J18))+(N18-MIN(E$8,M18)))))</f>
        <v/>
      </c>
      <c r="R18" s="23">
        <f>ROUND(P18-Q18,2)</f>
        <v/>
      </c>
      <c r="S18" s="23">
        <f>ROUND(U17*(1+G$7/12),2)</f>
        <v/>
      </c>
      <c r="T18" s="23">
        <f>MIN(G$8,S18)+MAX(0,MIN(S18-MIN(G$8,S18),$C18-((H18-MIN(C$8,G18))+(K18-MIN(D$8,J18))+(N18-MIN(E$8,M18))+(Q18-MIN(F$8,P18)))))</f>
        <v/>
      </c>
      <c r="U18" s="23">
        <f>ROUND(S18-T18,2)</f>
        <v/>
      </c>
    </row>
    <row r="19">
      <c r="A19" t="n">
        <v>8</v>
      </c>
      <c r="B19" s="22">
        <f>EDATE(Debts!$B$5,7)</f>
        <v/>
      </c>
      <c r="C19" s="23">
        <f>MAX(0,Debts!$B$6-(MIN(C$8,G19)+MIN(D$8,J19)+MIN(E$8,M19)+MIN(F$8,P19)+MIN(G$8,S19)))</f>
        <v/>
      </c>
      <c r="D19" s="23">
        <f>H19+K19+N19+Q19+T19</f>
        <v/>
      </c>
      <c r="E19" s="23">
        <f>I19+L19+O19+R19+U19</f>
        <v/>
      </c>
      <c r="F19" s="23" t="n"/>
      <c r="G19" s="23">
        <f>ROUND(I18*(1+C$7/12),2)</f>
        <v/>
      </c>
      <c r="H19" s="23">
        <f>MIN(C$8,G19)+MAX(0,MIN(G19-MIN(C$8,G19),$C19-(0)))</f>
        <v/>
      </c>
      <c r="I19" s="23">
        <f>ROUND(G19-H19,2)</f>
        <v/>
      </c>
      <c r="J19" s="23">
        <f>ROUND(L18*(1+D$7/12),2)</f>
        <v/>
      </c>
      <c r="K19" s="23">
        <f>MIN(D$8,J19)+MAX(0,MIN(J19-MIN(D$8,J19),$C19-((H19-MIN(C$8,G19)))))</f>
        <v/>
      </c>
      <c r="L19" s="23">
        <f>ROUND(J19-K19,2)</f>
        <v/>
      </c>
      <c r="M19" s="23">
        <f>ROUND(O18*(1+E$7/12),2)</f>
        <v/>
      </c>
      <c r="N19" s="23">
        <f>MIN(E$8,M19)+MAX(0,MIN(M19-MIN(E$8,M19),$C19-((H19-MIN(C$8,G19))+(K19-MIN(D$8,J19)))))</f>
        <v/>
      </c>
      <c r="O19" s="23">
        <f>ROUND(M19-N19,2)</f>
        <v/>
      </c>
      <c r="P19" s="23">
        <f>ROUND(R18*(1+F$7/12),2)</f>
        <v/>
      </c>
      <c r="Q19" s="23">
        <f>MIN(F$8,P19)+MAX(0,MIN(P19-MIN(F$8,P19),$C19-((H19-MIN(C$8,G19))+(K19-MIN(D$8,J19))+(N19-MIN(E$8,M19)))))</f>
        <v/>
      </c>
      <c r="R19" s="23">
        <f>ROUND(P19-Q19,2)</f>
        <v/>
      </c>
      <c r="S19" s="23">
        <f>ROUND(U18*(1+G$7/12),2)</f>
        <v/>
      </c>
      <c r="T19" s="23">
        <f>MIN(G$8,S19)+MAX(0,MIN(S19-MIN(G$8,S19),$C19-((H19-MIN(C$8,G19))+(K19-MIN(D$8,J19))+(N19-MIN(E$8,M19))+(Q19-MIN(F$8,P19)))))</f>
        <v/>
      </c>
      <c r="U19" s="23">
        <f>ROUND(S19-T19,2)</f>
        <v/>
      </c>
    </row>
    <row r="20">
      <c r="A20" t="n">
        <v>9</v>
      </c>
      <c r="B20" s="22">
        <f>EDATE(Debts!$B$5,8)</f>
        <v/>
      </c>
      <c r="C20" s="23">
        <f>MAX(0,Debts!$B$6-(MIN(C$8,G20)+MIN(D$8,J20)+MIN(E$8,M20)+MIN(F$8,P20)+MIN(G$8,S20)))</f>
        <v/>
      </c>
      <c r="D20" s="23">
        <f>H20+K20+N20+Q20+T20</f>
        <v/>
      </c>
      <c r="E20" s="23">
        <f>I20+L20+O20+R20+U20</f>
        <v/>
      </c>
      <c r="F20" s="23" t="n"/>
      <c r="G20" s="23">
        <f>ROUND(I19*(1+C$7/12),2)</f>
        <v/>
      </c>
      <c r="H20" s="23">
        <f>MIN(C$8,G20)+MAX(0,MIN(G20-MIN(C$8,G20),$C20-(0)))</f>
        <v/>
      </c>
      <c r="I20" s="23">
        <f>ROUND(G20-H20,2)</f>
        <v/>
      </c>
      <c r="J20" s="23">
        <f>ROUND(L19*(1+D$7/12),2)</f>
        <v/>
      </c>
      <c r="K20" s="23">
        <f>MIN(D$8,J20)+MAX(0,MIN(J20-MIN(D$8,J20),$C20-((H20-MIN(C$8,G20)))))</f>
        <v/>
      </c>
      <c r="L20" s="23">
        <f>ROUND(J20-K20,2)</f>
        <v/>
      </c>
      <c r="M20" s="23">
        <f>ROUND(O19*(1+E$7/12),2)</f>
        <v/>
      </c>
      <c r="N20" s="23">
        <f>MIN(E$8,M20)+MAX(0,MIN(M20-MIN(E$8,M20),$C20-((H20-MIN(C$8,G20))+(K20-MIN(D$8,J20)))))</f>
        <v/>
      </c>
      <c r="O20" s="23">
        <f>ROUND(M20-N20,2)</f>
        <v/>
      </c>
      <c r="P20" s="23">
        <f>ROUND(R19*(1+F$7/12),2)</f>
        <v/>
      </c>
      <c r="Q20" s="23">
        <f>MIN(F$8,P20)+MAX(0,MIN(P20-MIN(F$8,P20),$C20-((H20-MIN(C$8,G20))+(K20-MIN(D$8,J20))+(N20-MIN(E$8,M20)))))</f>
        <v/>
      </c>
      <c r="R20" s="23">
        <f>ROUND(P20-Q20,2)</f>
        <v/>
      </c>
      <c r="S20" s="23">
        <f>ROUND(U19*(1+G$7/12),2)</f>
        <v/>
      </c>
      <c r="T20" s="23">
        <f>MIN(G$8,S20)+MAX(0,MIN(S20-MIN(G$8,S20),$C20-((H20-MIN(C$8,G20))+(K20-MIN(D$8,J20))+(N20-MIN(E$8,M20))+(Q20-MIN(F$8,P20)))))</f>
        <v/>
      </c>
      <c r="U20" s="23">
        <f>ROUND(S20-T20,2)</f>
        <v/>
      </c>
    </row>
    <row r="21">
      <c r="A21" t="n">
        <v>10</v>
      </c>
      <c r="B21" s="22">
        <f>EDATE(Debts!$B$5,9)</f>
        <v/>
      </c>
      <c r="C21" s="23">
        <f>MAX(0,Debts!$B$6-(MIN(C$8,G21)+MIN(D$8,J21)+MIN(E$8,M21)+MIN(F$8,P21)+MIN(G$8,S21)))</f>
        <v/>
      </c>
      <c r="D21" s="23">
        <f>H21+K21+N21+Q21+T21</f>
        <v/>
      </c>
      <c r="E21" s="23">
        <f>I21+L21+O21+R21+U21</f>
        <v/>
      </c>
      <c r="F21" s="23" t="n"/>
      <c r="G21" s="23">
        <f>ROUND(I20*(1+C$7/12),2)</f>
        <v/>
      </c>
      <c r="H21" s="23">
        <f>MIN(C$8,G21)+MAX(0,MIN(G21-MIN(C$8,G21),$C21-(0)))</f>
        <v/>
      </c>
      <c r="I21" s="23">
        <f>ROUND(G21-H21,2)</f>
        <v/>
      </c>
      <c r="J21" s="23">
        <f>ROUND(L20*(1+D$7/12),2)</f>
        <v/>
      </c>
      <c r="K21" s="23">
        <f>MIN(D$8,J21)+MAX(0,MIN(J21-MIN(D$8,J21),$C21-((H21-MIN(C$8,G21)))))</f>
        <v/>
      </c>
      <c r="L21" s="23">
        <f>ROUND(J21-K21,2)</f>
        <v/>
      </c>
      <c r="M21" s="23">
        <f>ROUND(O20*(1+E$7/12),2)</f>
        <v/>
      </c>
      <c r="N21" s="23">
        <f>MIN(E$8,M21)+MAX(0,MIN(M21-MIN(E$8,M21),$C21-((H21-MIN(C$8,G21))+(K21-MIN(D$8,J21)))))</f>
        <v/>
      </c>
      <c r="O21" s="23">
        <f>ROUND(M21-N21,2)</f>
        <v/>
      </c>
      <c r="P21" s="23">
        <f>ROUND(R20*(1+F$7/12),2)</f>
        <v/>
      </c>
      <c r="Q21" s="23">
        <f>MIN(F$8,P21)+MAX(0,MIN(P21-MIN(F$8,P21),$C21-((H21-MIN(C$8,G21))+(K21-MIN(D$8,J21))+(N21-MIN(E$8,M21)))))</f>
        <v/>
      </c>
      <c r="R21" s="23">
        <f>ROUND(P21-Q21,2)</f>
        <v/>
      </c>
      <c r="S21" s="23">
        <f>ROUND(U20*(1+G$7/12),2)</f>
        <v/>
      </c>
      <c r="T21" s="23">
        <f>MIN(G$8,S21)+MAX(0,MIN(S21-MIN(G$8,S21),$C21-((H21-MIN(C$8,G21))+(K21-MIN(D$8,J21))+(N21-MIN(E$8,M21))+(Q21-MIN(F$8,P21)))))</f>
        <v/>
      </c>
      <c r="U21" s="23">
        <f>ROUND(S21-T21,2)</f>
        <v/>
      </c>
    </row>
    <row r="22">
      <c r="A22" t="n">
        <v>11</v>
      </c>
      <c r="B22" s="22">
        <f>EDATE(Debts!$B$5,10)</f>
        <v/>
      </c>
      <c r="C22" s="23">
        <f>MAX(0,Debts!$B$6-(MIN(C$8,G22)+MIN(D$8,J22)+MIN(E$8,M22)+MIN(F$8,P22)+MIN(G$8,S22)))</f>
        <v/>
      </c>
      <c r="D22" s="23">
        <f>H22+K22+N22+Q22+T22</f>
        <v/>
      </c>
      <c r="E22" s="23">
        <f>I22+L22+O22+R22+U22</f>
        <v/>
      </c>
      <c r="F22" s="23" t="n"/>
      <c r="G22" s="23">
        <f>ROUND(I21*(1+C$7/12),2)</f>
        <v/>
      </c>
      <c r="H22" s="23">
        <f>MIN(C$8,G22)+MAX(0,MIN(G22-MIN(C$8,G22),$C22-(0)))</f>
        <v/>
      </c>
      <c r="I22" s="23">
        <f>ROUND(G22-H22,2)</f>
        <v/>
      </c>
      <c r="J22" s="23">
        <f>ROUND(L21*(1+D$7/12),2)</f>
        <v/>
      </c>
      <c r="K22" s="23">
        <f>MIN(D$8,J22)+MAX(0,MIN(J22-MIN(D$8,J22),$C22-((H22-MIN(C$8,G22)))))</f>
        <v/>
      </c>
      <c r="L22" s="23">
        <f>ROUND(J22-K22,2)</f>
        <v/>
      </c>
      <c r="M22" s="23">
        <f>ROUND(O21*(1+E$7/12),2)</f>
        <v/>
      </c>
      <c r="N22" s="23">
        <f>MIN(E$8,M22)+MAX(0,MIN(M22-MIN(E$8,M22),$C22-((H22-MIN(C$8,G22))+(K22-MIN(D$8,J22)))))</f>
        <v/>
      </c>
      <c r="O22" s="23">
        <f>ROUND(M22-N22,2)</f>
        <v/>
      </c>
      <c r="P22" s="23">
        <f>ROUND(R21*(1+F$7/12),2)</f>
        <v/>
      </c>
      <c r="Q22" s="23">
        <f>MIN(F$8,P22)+MAX(0,MIN(P22-MIN(F$8,P22),$C22-((H22-MIN(C$8,G22))+(K22-MIN(D$8,J22))+(N22-MIN(E$8,M22)))))</f>
        <v/>
      </c>
      <c r="R22" s="23">
        <f>ROUND(P22-Q22,2)</f>
        <v/>
      </c>
      <c r="S22" s="23">
        <f>ROUND(U21*(1+G$7/12),2)</f>
        <v/>
      </c>
      <c r="T22" s="23">
        <f>MIN(G$8,S22)+MAX(0,MIN(S22-MIN(G$8,S22),$C22-((H22-MIN(C$8,G22))+(K22-MIN(D$8,J22))+(N22-MIN(E$8,M22))+(Q22-MIN(F$8,P22)))))</f>
        <v/>
      </c>
      <c r="U22" s="23">
        <f>ROUND(S22-T22,2)</f>
        <v/>
      </c>
    </row>
    <row r="23">
      <c r="A23" t="n">
        <v>12</v>
      </c>
      <c r="B23" s="22">
        <f>EDATE(Debts!$B$5,11)</f>
        <v/>
      </c>
      <c r="C23" s="23">
        <f>MAX(0,Debts!$B$6-(MIN(C$8,G23)+MIN(D$8,J23)+MIN(E$8,M23)+MIN(F$8,P23)+MIN(G$8,S23)))</f>
        <v/>
      </c>
      <c r="D23" s="23">
        <f>H23+K23+N23+Q23+T23</f>
        <v/>
      </c>
      <c r="E23" s="23">
        <f>I23+L23+O23+R23+U23</f>
        <v/>
      </c>
      <c r="F23" s="23" t="n"/>
      <c r="G23" s="23">
        <f>ROUND(I22*(1+C$7/12),2)</f>
        <v/>
      </c>
      <c r="H23" s="23">
        <f>MIN(C$8,G23)+MAX(0,MIN(G23-MIN(C$8,G23),$C23-(0)))</f>
        <v/>
      </c>
      <c r="I23" s="23">
        <f>ROUND(G23-H23,2)</f>
        <v/>
      </c>
      <c r="J23" s="23">
        <f>ROUND(L22*(1+D$7/12),2)</f>
        <v/>
      </c>
      <c r="K23" s="23">
        <f>MIN(D$8,J23)+MAX(0,MIN(J23-MIN(D$8,J23),$C23-((H23-MIN(C$8,G23)))))</f>
        <v/>
      </c>
      <c r="L23" s="23">
        <f>ROUND(J23-K23,2)</f>
        <v/>
      </c>
      <c r="M23" s="23">
        <f>ROUND(O22*(1+E$7/12),2)</f>
        <v/>
      </c>
      <c r="N23" s="23">
        <f>MIN(E$8,M23)+MAX(0,MIN(M23-MIN(E$8,M23),$C23-((H23-MIN(C$8,G23))+(K23-MIN(D$8,J23)))))</f>
        <v/>
      </c>
      <c r="O23" s="23">
        <f>ROUND(M23-N23,2)</f>
        <v/>
      </c>
      <c r="P23" s="23">
        <f>ROUND(R22*(1+F$7/12),2)</f>
        <v/>
      </c>
      <c r="Q23" s="23">
        <f>MIN(F$8,P23)+MAX(0,MIN(P23-MIN(F$8,P23),$C23-((H23-MIN(C$8,G23))+(K23-MIN(D$8,J23))+(N23-MIN(E$8,M23)))))</f>
        <v/>
      </c>
      <c r="R23" s="23">
        <f>ROUND(P23-Q23,2)</f>
        <v/>
      </c>
      <c r="S23" s="23">
        <f>ROUND(U22*(1+G$7/12),2)</f>
        <v/>
      </c>
      <c r="T23" s="23">
        <f>MIN(G$8,S23)+MAX(0,MIN(S23-MIN(G$8,S23),$C23-((H23-MIN(C$8,G23))+(K23-MIN(D$8,J23))+(N23-MIN(E$8,M23))+(Q23-MIN(F$8,P23)))))</f>
        <v/>
      </c>
      <c r="U23" s="23">
        <f>ROUND(S23-T23,2)</f>
        <v/>
      </c>
    </row>
    <row r="24">
      <c r="A24" t="n">
        <v>13</v>
      </c>
      <c r="B24" s="22">
        <f>EDATE(Debts!$B$5,12)</f>
        <v/>
      </c>
      <c r="C24" s="23">
        <f>MAX(0,Debts!$B$6-(MIN(C$8,G24)+MIN(D$8,J24)+MIN(E$8,M24)+MIN(F$8,P24)+MIN(G$8,S24)))</f>
        <v/>
      </c>
      <c r="D24" s="23">
        <f>H24+K24+N24+Q24+T24</f>
        <v/>
      </c>
      <c r="E24" s="23">
        <f>I24+L24+O24+R24+U24</f>
        <v/>
      </c>
      <c r="F24" s="23" t="n"/>
      <c r="G24" s="23">
        <f>ROUND(I23*(1+C$7/12),2)</f>
        <v/>
      </c>
      <c r="H24" s="23">
        <f>MIN(C$8,G24)+MAX(0,MIN(G24-MIN(C$8,G24),$C24-(0)))</f>
        <v/>
      </c>
      <c r="I24" s="23">
        <f>ROUND(G24-H24,2)</f>
        <v/>
      </c>
      <c r="J24" s="23">
        <f>ROUND(L23*(1+D$7/12),2)</f>
        <v/>
      </c>
      <c r="K24" s="23">
        <f>MIN(D$8,J24)+MAX(0,MIN(J24-MIN(D$8,J24),$C24-((H24-MIN(C$8,G24)))))</f>
        <v/>
      </c>
      <c r="L24" s="23">
        <f>ROUND(J24-K24,2)</f>
        <v/>
      </c>
      <c r="M24" s="23">
        <f>ROUND(O23*(1+E$7/12),2)</f>
        <v/>
      </c>
      <c r="N24" s="23">
        <f>MIN(E$8,M24)+MAX(0,MIN(M24-MIN(E$8,M24),$C24-((H24-MIN(C$8,G24))+(K24-MIN(D$8,J24)))))</f>
        <v/>
      </c>
      <c r="O24" s="23">
        <f>ROUND(M24-N24,2)</f>
        <v/>
      </c>
      <c r="P24" s="23">
        <f>ROUND(R23*(1+F$7/12),2)</f>
        <v/>
      </c>
      <c r="Q24" s="23">
        <f>MIN(F$8,P24)+MAX(0,MIN(P24-MIN(F$8,P24),$C24-((H24-MIN(C$8,G24))+(K24-MIN(D$8,J24))+(N24-MIN(E$8,M24)))))</f>
        <v/>
      </c>
      <c r="R24" s="23">
        <f>ROUND(P24-Q24,2)</f>
        <v/>
      </c>
      <c r="S24" s="23">
        <f>ROUND(U23*(1+G$7/12),2)</f>
        <v/>
      </c>
      <c r="T24" s="23">
        <f>MIN(G$8,S24)+MAX(0,MIN(S24-MIN(G$8,S24),$C24-((H24-MIN(C$8,G24))+(K24-MIN(D$8,J24))+(N24-MIN(E$8,M24))+(Q24-MIN(F$8,P24)))))</f>
        <v/>
      </c>
      <c r="U24" s="23">
        <f>ROUND(S24-T24,2)</f>
        <v/>
      </c>
    </row>
    <row r="25">
      <c r="A25" t="n">
        <v>14</v>
      </c>
      <c r="B25" s="22">
        <f>EDATE(Debts!$B$5,13)</f>
        <v/>
      </c>
      <c r="C25" s="23">
        <f>MAX(0,Debts!$B$6-(MIN(C$8,G25)+MIN(D$8,J25)+MIN(E$8,M25)+MIN(F$8,P25)+MIN(G$8,S25)))</f>
        <v/>
      </c>
      <c r="D25" s="23">
        <f>H25+K25+N25+Q25+T25</f>
        <v/>
      </c>
      <c r="E25" s="23">
        <f>I25+L25+O25+R25+U25</f>
        <v/>
      </c>
      <c r="F25" s="23" t="n"/>
      <c r="G25" s="23">
        <f>ROUND(I24*(1+C$7/12),2)</f>
        <v/>
      </c>
      <c r="H25" s="23">
        <f>MIN(C$8,G25)+MAX(0,MIN(G25-MIN(C$8,G25),$C25-(0)))</f>
        <v/>
      </c>
      <c r="I25" s="23">
        <f>ROUND(G25-H25,2)</f>
        <v/>
      </c>
      <c r="J25" s="23">
        <f>ROUND(L24*(1+D$7/12),2)</f>
        <v/>
      </c>
      <c r="K25" s="23">
        <f>MIN(D$8,J25)+MAX(0,MIN(J25-MIN(D$8,J25),$C25-((H25-MIN(C$8,G25)))))</f>
        <v/>
      </c>
      <c r="L25" s="23">
        <f>ROUND(J25-K25,2)</f>
        <v/>
      </c>
      <c r="M25" s="23">
        <f>ROUND(O24*(1+E$7/12),2)</f>
        <v/>
      </c>
      <c r="N25" s="23">
        <f>MIN(E$8,M25)+MAX(0,MIN(M25-MIN(E$8,M25),$C25-((H25-MIN(C$8,G25))+(K25-MIN(D$8,J25)))))</f>
        <v/>
      </c>
      <c r="O25" s="23">
        <f>ROUND(M25-N25,2)</f>
        <v/>
      </c>
      <c r="P25" s="23">
        <f>ROUND(R24*(1+F$7/12),2)</f>
        <v/>
      </c>
      <c r="Q25" s="23">
        <f>MIN(F$8,P25)+MAX(0,MIN(P25-MIN(F$8,P25),$C25-((H25-MIN(C$8,G25))+(K25-MIN(D$8,J25))+(N25-MIN(E$8,M25)))))</f>
        <v/>
      </c>
      <c r="R25" s="23">
        <f>ROUND(P25-Q25,2)</f>
        <v/>
      </c>
      <c r="S25" s="23">
        <f>ROUND(U24*(1+G$7/12),2)</f>
        <v/>
      </c>
      <c r="T25" s="23">
        <f>MIN(G$8,S25)+MAX(0,MIN(S25-MIN(G$8,S25),$C25-((H25-MIN(C$8,G25))+(K25-MIN(D$8,J25))+(N25-MIN(E$8,M25))+(Q25-MIN(F$8,P25)))))</f>
        <v/>
      </c>
      <c r="U25" s="23">
        <f>ROUND(S25-T25,2)</f>
        <v/>
      </c>
    </row>
    <row r="26">
      <c r="A26" t="n">
        <v>15</v>
      </c>
      <c r="B26" s="22">
        <f>EDATE(Debts!$B$5,14)</f>
        <v/>
      </c>
      <c r="C26" s="23">
        <f>MAX(0,Debts!$B$6-(MIN(C$8,G26)+MIN(D$8,J26)+MIN(E$8,M26)+MIN(F$8,P26)+MIN(G$8,S26)))</f>
        <v/>
      </c>
      <c r="D26" s="23">
        <f>H26+K26+N26+Q26+T26</f>
        <v/>
      </c>
      <c r="E26" s="23">
        <f>I26+L26+O26+R26+U26</f>
        <v/>
      </c>
      <c r="F26" s="23" t="n"/>
      <c r="G26" s="23">
        <f>ROUND(I25*(1+C$7/12),2)</f>
        <v/>
      </c>
      <c r="H26" s="23">
        <f>MIN(C$8,G26)+MAX(0,MIN(G26-MIN(C$8,G26),$C26-(0)))</f>
        <v/>
      </c>
      <c r="I26" s="23">
        <f>ROUND(G26-H26,2)</f>
        <v/>
      </c>
      <c r="J26" s="23">
        <f>ROUND(L25*(1+D$7/12),2)</f>
        <v/>
      </c>
      <c r="K26" s="23">
        <f>MIN(D$8,J26)+MAX(0,MIN(J26-MIN(D$8,J26),$C26-((H26-MIN(C$8,G26)))))</f>
        <v/>
      </c>
      <c r="L26" s="23">
        <f>ROUND(J26-K26,2)</f>
        <v/>
      </c>
      <c r="M26" s="23">
        <f>ROUND(O25*(1+E$7/12),2)</f>
        <v/>
      </c>
      <c r="N26" s="23">
        <f>MIN(E$8,M26)+MAX(0,MIN(M26-MIN(E$8,M26),$C26-((H26-MIN(C$8,G26))+(K26-MIN(D$8,J26)))))</f>
        <v/>
      </c>
      <c r="O26" s="23">
        <f>ROUND(M26-N26,2)</f>
        <v/>
      </c>
      <c r="P26" s="23">
        <f>ROUND(R25*(1+F$7/12),2)</f>
        <v/>
      </c>
      <c r="Q26" s="23">
        <f>MIN(F$8,P26)+MAX(0,MIN(P26-MIN(F$8,P26),$C26-((H26-MIN(C$8,G26))+(K26-MIN(D$8,J26))+(N26-MIN(E$8,M26)))))</f>
        <v/>
      </c>
      <c r="R26" s="23">
        <f>ROUND(P26-Q26,2)</f>
        <v/>
      </c>
      <c r="S26" s="23">
        <f>ROUND(U25*(1+G$7/12),2)</f>
        <v/>
      </c>
      <c r="T26" s="23">
        <f>MIN(G$8,S26)+MAX(0,MIN(S26-MIN(G$8,S26),$C26-((H26-MIN(C$8,G26))+(K26-MIN(D$8,J26))+(N26-MIN(E$8,M26))+(Q26-MIN(F$8,P26)))))</f>
        <v/>
      </c>
      <c r="U26" s="23">
        <f>ROUND(S26-T26,2)</f>
        <v/>
      </c>
    </row>
    <row r="27">
      <c r="A27" t="n">
        <v>16</v>
      </c>
      <c r="B27" s="22">
        <f>EDATE(Debts!$B$5,15)</f>
        <v/>
      </c>
      <c r="C27" s="23">
        <f>MAX(0,Debts!$B$6-(MIN(C$8,G27)+MIN(D$8,J27)+MIN(E$8,M27)+MIN(F$8,P27)+MIN(G$8,S27)))</f>
        <v/>
      </c>
      <c r="D27" s="23">
        <f>H27+K27+N27+Q27+T27</f>
        <v/>
      </c>
      <c r="E27" s="23">
        <f>I27+L27+O27+R27+U27</f>
        <v/>
      </c>
      <c r="F27" s="23" t="n"/>
      <c r="G27" s="23">
        <f>ROUND(I26*(1+C$7/12),2)</f>
        <v/>
      </c>
      <c r="H27" s="23">
        <f>MIN(C$8,G27)+MAX(0,MIN(G27-MIN(C$8,G27),$C27-(0)))</f>
        <v/>
      </c>
      <c r="I27" s="23">
        <f>ROUND(G27-H27,2)</f>
        <v/>
      </c>
      <c r="J27" s="23">
        <f>ROUND(L26*(1+D$7/12),2)</f>
        <v/>
      </c>
      <c r="K27" s="23">
        <f>MIN(D$8,J27)+MAX(0,MIN(J27-MIN(D$8,J27),$C27-((H27-MIN(C$8,G27)))))</f>
        <v/>
      </c>
      <c r="L27" s="23">
        <f>ROUND(J27-K27,2)</f>
        <v/>
      </c>
      <c r="M27" s="23">
        <f>ROUND(O26*(1+E$7/12),2)</f>
        <v/>
      </c>
      <c r="N27" s="23">
        <f>MIN(E$8,M27)+MAX(0,MIN(M27-MIN(E$8,M27),$C27-((H27-MIN(C$8,G27))+(K27-MIN(D$8,J27)))))</f>
        <v/>
      </c>
      <c r="O27" s="23">
        <f>ROUND(M27-N27,2)</f>
        <v/>
      </c>
      <c r="P27" s="23">
        <f>ROUND(R26*(1+F$7/12),2)</f>
        <v/>
      </c>
      <c r="Q27" s="23">
        <f>MIN(F$8,P27)+MAX(0,MIN(P27-MIN(F$8,P27),$C27-((H27-MIN(C$8,G27))+(K27-MIN(D$8,J27))+(N27-MIN(E$8,M27)))))</f>
        <v/>
      </c>
      <c r="R27" s="23">
        <f>ROUND(P27-Q27,2)</f>
        <v/>
      </c>
      <c r="S27" s="23">
        <f>ROUND(U26*(1+G$7/12),2)</f>
        <v/>
      </c>
      <c r="T27" s="23">
        <f>MIN(G$8,S27)+MAX(0,MIN(S27-MIN(G$8,S27),$C27-((H27-MIN(C$8,G27))+(K27-MIN(D$8,J27))+(N27-MIN(E$8,M27))+(Q27-MIN(F$8,P27)))))</f>
        <v/>
      </c>
      <c r="U27" s="23">
        <f>ROUND(S27-T27,2)</f>
        <v/>
      </c>
    </row>
    <row r="28">
      <c r="A28" t="n">
        <v>17</v>
      </c>
      <c r="B28" s="22">
        <f>EDATE(Debts!$B$5,16)</f>
        <v/>
      </c>
      <c r="C28" s="23">
        <f>MAX(0,Debts!$B$6-(MIN(C$8,G28)+MIN(D$8,J28)+MIN(E$8,M28)+MIN(F$8,P28)+MIN(G$8,S28)))</f>
        <v/>
      </c>
      <c r="D28" s="23">
        <f>H28+K28+N28+Q28+T28</f>
        <v/>
      </c>
      <c r="E28" s="23">
        <f>I28+L28+O28+R28+U28</f>
        <v/>
      </c>
      <c r="F28" s="23" t="n"/>
      <c r="G28" s="23">
        <f>ROUND(I27*(1+C$7/12),2)</f>
        <v/>
      </c>
      <c r="H28" s="23">
        <f>MIN(C$8,G28)+MAX(0,MIN(G28-MIN(C$8,G28),$C28-(0)))</f>
        <v/>
      </c>
      <c r="I28" s="23">
        <f>ROUND(G28-H28,2)</f>
        <v/>
      </c>
      <c r="J28" s="23">
        <f>ROUND(L27*(1+D$7/12),2)</f>
        <v/>
      </c>
      <c r="K28" s="23">
        <f>MIN(D$8,J28)+MAX(0,MIN(J28-MIN(D$8,J28),$C28-((H28-MIN(C$8,G28)))))</f>
        <v/>
      </c>
      <c r="L28" s="23">
        <f>ROUND(J28-K28,2)</f>
        <v/>
      </c>
      <c r="M28" s="23">
        <f>ROUND(O27*(1+E$7/12),2)</f>
        <v/>
      </c>
      <c r="N28" s="23">
        <f>MIN(E$8,M28)+MAX(0,MIN(M28-MIN(E$8,M28),$C28-((H28-MIN(C$8,G28))+(K28-MIN(D$8,J28)))))</f>
        <v/>
      </c>
      <c r="O28" s="23">
        <f>ROUND(M28-N28,2)</f>
        <v/>
      </c>
      <c r="P28" s="23">
        <f>ROUND(R27*(1+F$7/12),2)</f>
        <v/>
      </c>
      <c r="Q28" s="23">
        <f>MIN(F$8,P28)+MAX(0,MIN(P28-MIN(F$8,P28),$C28-((H28-MIN(C$8,G28))+(K28-MIN(D$8,J28))+(N28-MIN(E$8,M28)))))</f>
        <v/>
      </c>
      <c r="R28" s="23">
        <f>ROUND(P28-Q28,2)</f>
        <v/>
      </c>
      <c r="S28" s="23">
        <f>ROUND(U27*(1+G$7/12),2)</f>
        <v/>
      </c>
      <c r="T28" s="23">
        <f>MIN(G$8,S28)+MAX(0,MIN(S28-MIN(G$8,S28),$C28-((H28-MIN(C$8,G28))+(K28-MIN(D$8,J28))+(N28-MIN(E$8,M28))+(Q28-MIN(F$8,P28)))))</f>
        <v/>
      </c>
      <c r="U28" s="23">
        <f>ROUND(S28-T28,2)</f>
        <v/>
      </c>
    </row>
    <row r="29">
      <c r="A29" t="n">
        <v>18</v>
      </c>
      <c r="B29" s="22">
        <f>EDATE(Debts!$B$5,17)</f>
        <v/>
      </c>
      <c r="C29" s="23">
        <f>MAX(0,Debts!$B$6-(MIN(C$8,G29)+MIN(D$8,J29)+MIN(E$8,M29)+MIN(F$8,P29)+MIN(G$8,S29)))</f>
        <v/>
      </c>
      <c r="D29" s="23">
        <f>H29+K29+N29+Q29+T29</f>
        <v/>
      </c>
      <c r="E29" s="23">
        <f>I29+L29+O29+R29+U29</f>
        <v/>
      </c>
      <c r="F29" s="23" t="n"/>
      <c r="G29" s="23">
        <f>ROUND(I28*(1+C$7/12),2)</f>
        <v/>
      </c>
      <c r="H29" s="23">
        <f>MIN(C$8,G29)+MAX(0,MIN(G29-MIN(C$8,G29),$C29-(0)))</f>
        <v/>
      </c>
      <c r="I29" s="23">
        <f>ROUND(G29-H29,2)</f>
        <v/>
      </c>
      <c r="J29" s="23">
        <f>ROUND(L28*(1+D$7/12),2)</f>
        <v/>
      </c>
      <c r="K29" s="23">
        <f>MIN(D$8,J29)+MAX(0,MIN(J29-MIN(D$8,J29),$C29-((H29-MIN(C$8,G29)))))</f>
        <v/>
      </c>
      <c r="L29" s="23">
        <f>ROUND(J29-K29,2)</f>
        <v/>
      </c>
      <c r="M29" s="23">
        <f>ROUND(O28*(1+E$7/12),2)</f>
        <v/>
      </c>
      <c r="N29" s="23">
        <f>MIN(E$8,M29)+MAX(0,MIN(M29-MIN(E$8,M29),$C29-((H29-MIN(C$8,G29))+(K29-MIN(D$8,J29)))))</f>
        <v/>
      </c>
      <c r="O29" s="23">
        <f>ROUND(M29-N29,2)</f>
        <v/>
      </c>
      <c r="P29" s="23">
        <f>ROUND(R28*(1+F$7/12),2)</f>
        <v/>
      </c>
      <c r="Q29" s="23">
        <f>MIN(F$8,P29)+MAX(0,MIN(P29-MIN(F$8,P29),$C29-((H29-MIN(C$8,G29))+(K29-MIN(D$8,J29))+(N29-MIN(E$8,M29)))))</f>
        <v/>
      </c>
      <c r="R29" s="23">
        <f>ROUND(P29-Q29,2)</f>
        <v/>
      </c>
      <c r="S29" s="23">
        <f>ROUND(U28*(1+G$7/12),2)</f>
        <v/>
      </c>
      <c r="T29" s="23">
        <f>MIN(G$8,S29)+MAX(0,MIN(S29-MIN(G$8,S29),$C29-((H29-MIN(C$8,G29))+(K29-MIN(D$8,J29))+(N29-MIN(E$8,M29))+(Q29-MIN(F$8,P29)))))</f>
        <v/>
      </c>
      <c r="U29" s="23">
        <f>ROUND(S29-T29,2)</f>
        <v/>
      </c>
    </row>
    <row r="30">
      <c r="A30" t="n">
        <v>19</v>
      </c>
      <c r="B30" s="22">
        <f>EDATE(Debts!$B$5,18)</f>
        <v/>
      </c>
      <c r="C30" s="23">
        <f>MAX(0,Debts!$B$6-(MIN(C$8,G30)+MIN(D$8,J30)+MIN(E$8,M30)+MIN(F$8,P30)+MIN(G$8,S30)))</f>
        <v/>
      </c>
      <c r="D30" s="23">
        <f>H30+K30+N30+Q30+T30</f>
        <v/>
      </c>
      <c r="E30" s="23">
        <f>I30+L30+O30+R30+U30</f>
        <v/>
      </c>
      <c r="F30" s="23" t="n"/>
      <c r="G30" s="23">
        <f>ROUND(I29*(1+C$7/12),2)</f>
        <v/>
      </c>
      <c r="H30" s="23">
        <f>MIN(C$8,G30)+MAX(0,MIN(G30-MIN(C$8,G30),$C30-(0)))</f>
        <v/>
      </c>
      <c r="I30" s="23">
        <f>ROUND(G30-H30,2)</f>
        <v/>
      </c>
      <c r="J30" s="23">
        <f>ROUND(L29*(1+D$7/12),2)</f>
        <v/>
      </c>
      <c r="K30" s="23">
        <f>MIN(D$8,J30)+MAX(0,MIN(J30-MIN(D$8,J30),$C30-((H30-MIN(C$8,G30)))))</f>
        <v/>
      </c>
      <c r="L30" s="23">
        <f>ROUND(J30-K30,2)</f>
        <v/>
      </c>
      <c r="M30" s="23">
        <f>ROUND(O29*(1+E$7/12),2)</f>
        <v/>
      </c>
      <c r="N30" s="23">
        <f>MIN(E$8,M30)+MAX(0,MIN(M30-MIN(E$8,M30),$C30-((H30-MIN(C$8,G30))+(K30-MIN(D$8,J30)))))</f>
        <v/>
      </c>
      <c r="O30" s="23">
        <f>ROUND(M30-N30,2)</f>
        <v/>
      </c>
      <c r="P30" s="23">
        <f>ROUND(R29*(1+F$7/12),2)</f>
        <v/>
      </c>
      <c r="Q30" s="23">
        <f>MIN(F$8,P30)+MAX(0,MIN(P30-MIN(F$8,P30),$C30-((H30-MIN(C$8,G30))+(K30-MIN(D$8,J30))+(N30-MIN(E$8,M30)))))</f>
        <v/>
      </c>
      <c r="R30" s="23">
        <f>ROUND(P30-Q30,2)</f>
        <v/>
      </c>
      <c r="S30" s="23">
        <f>ROUND(U29*(1+G$7/12),2)</f>
        <v/>
      </c>
      <c r="T30" s="23">
        <f>MIN(G$8,S30)+MAX(0,MIN(S30-MIN(G$8,S30),$C30-((H30-MIN(C$8,G30))+(K30-MIN(D$8,J30))+(N30-MIN(E$8,M30))+(Q30-MIN(F$8,P30)))))</f>
        <v/>
      </c>
      <c r="U30" s="23">
        <f>ROUND(S30-T30,2)</f>
        <v/>
      </c>
    </row>
    <row r="31">
      <c r="A31" t="n">
        <v>20</v>
      </c>
      <c r="B31" s="22">
        <f>EDATE(Debts!$B$5,19)</f>
        <v/>
      </c>
      <c r="C31" s="23">
        <f>MAX(0,Debts!$B$6-(MIN(C$8,G31)+MIN(D$8,J31)+MIN(E$8,M31)+MIN(F$8,P31)+MIN(G$8,S31)))</f>
        <v/>
      </c>
      <c r="D31" s="23">
        <f>H31+K31+N31+Q31+T31</f>
        <v/>
      </c>
      <c r="E31" s="23">
        <f>I31+L31+O31+R31+U31</f>
        <v/>
      </c>
      <c r="F31" s="23" t="n"/>
      <c r="G31" s="23">
        <f>ROUND(I30*(1+C$7/12),2)</f>
        <v/>
      </c>
      <c r="H31" s="23">
        <f>MIN(C$8,G31)+MAX(0,MIN(G31-MIN(C$8,G31),$C31-(0)))</f>
        <v/>
      </c>
      <c r="I31" s="23">
        <f>ROUND(G31-H31,2)</f>
        <v/>
      </c>
      <c r="J31" s="23">
        <f>ROUND(L30*(1+D$7/12),2)</f>
        <v/>
      </c>
      <c r="K31" s="23">
        <f>MIN(D$8,J31)+MAX(0,MIN(J31-MIN(D$8,J31),$C31-((H31-MIN(C$8,G31)))))</f>
        <v/>
      </c>
      <c r="L31" s="23">
        <f>ROUND(J31-K31,2)</f>
        <v/>
      </c>
      <c r="M31" s="23">
        <f>ROUND(O30*(1+E$7/12),2)</f>
        <v/>
      </c>
      <c r="N31" s="23">
        <f>MIN(E$8,M31)+MAX(0,MIN(M31-MIN(E$8,M31),$C31-((H31-MIN(C$8,G31))+(K31-MIN(D$8,J31)))))</f>
        <v/>
      </c>
      <c r="O31" s="23">
        <f>ROUND(M31-N31,2)</f>
        <v/>
      </c>
      <c r="P31" s="23">
        <f>ROUND(R30*(1+F$7/12),2)</f>
        <v/>
      </c>
      <c r="Q31" s="23">
        <f>MIN(F$8,P31)+MAX(0,MIN(P31-MIN(F$8,P31),$C31-((H31-MIN(C$8,G31))+(K31-MIN(D$8,J31))+(N31-MIN(E$8,M31)))))</f>
        <v/>
      </c>
      <c r="R31" s="23">
        <f>ROUND(P31-Q31,2)</f>
        <v/>
      </c>
      <c r="S31" s="23">
        <f>ROUND(U30*(1+G$7/12),2)</f>
        <v/>
      </c>
      <c r="T31" s="23">
        <f>MIN(G$8,S31)+MAX(0,MIN(S31-MIN(G$8,S31),$C31-((H31-MIN(C$8,G31))+(K31-MIN(D$8,J31))+(N31-MIN(E$8,M31))+(Q31-MIN(F$8,P31)))))</f>
        <v/>
      </c>
      <c r="U31" s="23">
        <f>ROUND(S31-T31,2)</f>
        <v/>
      </c>
    </row>
    <row r="32">
      <c r="A32" t="n">
        <v>21</v>
      </c>
      <c r="B32" s="22">
        <f>EDATE(Debts!$B$5,20)</f>
        <v/>
      </c>
      <c r="C32" s="23">
        <f>MAX(0,Debts!$B$6-(MIN(C$8,G32)+MIN(D$8,J32)+MIN(E$8,M32)+MIN(F$8,P32)+MIN(G$8,S32)))</f>
        <v/>
      </c>
      <c r="D32" s="23">
        <f>H32+K32+N32+Q32+T32</f>
        <v/>
      </c>
      <c r="E32" s="23">
        <f>I32+L32+O32+R32+U32</f>
        <v/>
      </c>
      <c r="F32" s="23" t="n"/>
      <c r="G32" s="23">
        <f>ROUND(I31*(1+C$7/12),2)</f>
        <v/>
      </c>
      <c r="H32" s="23">
        <f>MIN(C$8,G32)+MAX(0,MIN(G32-MIN(C$8,G32),$C32-(0)))</f>
        <v/>
      </c>
      <c r="I32" s="23">
        <f>ROUND(G32-H32,2)</f>
        <v/>
      </c>
      <c r="J32" s="23">
        <f>ROUND(L31*(1+D$7/12),2)</f>
        <v/>
      </c>
      <c r="K32" s="23">
        <f>MIN(D$8,J32)+MAX(0,MIN(J32-MIN(D$8,J32),$C32-((H32-MIN(C$8,G32)))))</f>
        <v/>
      </c>
      <c r="L32" s="23">
        <f>ROUND(J32-K32,2)</f>
        <v/>
      </c>
      <c r="M32" s="23">
        <f>ROUND(O31*(1+E$7/12),2)</f>
        <v/>
      </c>
      <c r="N32" s="23">
        <f>MIN(E$8,M32)+MAX(0,MIN(M32-MIN(E$8,M32),$C32-((H32-MIN(C$8,G32))+(K32-MIN(D$8,J32)))))</f>
        <v/>
      </c>
      <c r="O32" s="23">
        <f>ROUND(M32-N32,2)</f>
        <v/>
      </c>
      <c r="P32" s="23">
        <f>ROUND(R31*(1+F$7/12),2)</f>
        <v/>
      </c>
      <c r="Q32" s="23">
        <f>MIN(F$8,P32)+MAX(0,MIN(P32-MIN(F$8,P32),$C32-((H32-MIN(C$8,G32))+(K32-MIN(D$8,J32))+(N32-MIN(E$8,M32)))))</f>
        <v/>
      </c>
      <c r="R32" s="23">
        <f>ROUND(P32-Q32,2)</f>
        <v/>
      </c>
      <c r="S32" s="23">
        <f>ROUND(U31*(1+G$7/12),2)</f>
        <v/>
      </c>
      <c r="T32" s="23">
        <f>MIN(G$8,S32)+MAX(0,MIN(S32-MIN(G$8,S32),$C32-((H32-MIN(C$8,G32))+(K32-MIN(D$8,J32))+(N32-MIN(E$8,M32))+(Q32-MIN(F$8,P32)))))</f>
        <v/>
      </c>
      <c r="U32" s="23">
        <f>ROUND(S32-T32,2)</f>
        <v/>
      </c>
    </row>
    <row r="33">
      <c r="A33" t="n">
        <v>22</v>
      </c>
      <c r="B33" s="22">
        <f>EDATE(Debts!$B$5,21)</f>
        <v/>
      </c>
      <c r="C33" s="23">
        <f>MAX(0,Debts!$B$6-(MIN(C$8,G33)+MIN(D$8,J33)+MIN(E$8,M33)+MIN(F$8,P33)+MIN(G$8,S33)))</f>
        <v/>
      </c>
      <c r="D33" s="23">
        <f>H33+K33+N33+Q33+T33</f>
        <v/>
      </c>
      <c r="E33" s="23">
        <f>I33+L33+O33+R33+U33</f>
        <v/>
      </c>
      <c r="F33" s="23" t="n"/>
      <c r="G33" s="23">
        <f>ROUND(I32*(1+C$7/12),2)</f>
        <v/>
      </c>
      <c r="H33" s="23">
        <f>MIN(C$8,G33)+MAX(0,MIN(G33-MIN(C$8,G33),$C33-(0)))</f>
        <v/>
      </c>
      <c r="I33" s="23">
        <f>ROUND(G33-H33,2)</f>
        <v/>
      </c>
      <c r="J33" s="23">
        <f>ROUND(L32*(1+D$7/12),2)</f>
        <v/>
      </c>
      <c r="K33" s="23">
        <f>MIN(D$8,J33)+MAX(0,MIN(J33-MIN(D$8,J33),$C33-((H33-MIN(C$8,G33)))))</f>
        <v/>
      </c>
      <c r="L33" s="23">
        <f>ROUND(J33-K33,2)</f>
        <v/>
      </c>
      <c r="M33" s="23">
        <f>ROUND(O32*(1+E$7/12),2)</f>
        <v/>
      </c>
      <c r="N33" s="23">
        <f>MIN(E$8,M33)+MAX(0,MIN(M33-MIN(E$8,M33),$C33-((H33-MIN(C$8,G33))+(K33-MIN(D$8,J33)))))</f>
        <v/>
      </c>
      <c r="O33" s="23">
        <f>ROUND(M33-N33,2)</f>
        <v/>
      </c>
      <c r="P33" s="23">
        <f>ROUND(R32*(1+F$7/12),2)</f>
        <v/>
      </c>
      <c r="Q33" s="23">
        <f>MIN(F$8,P33)+MAX(0,MIN(P33-MIN(F$8,P33),$C33-((H33-MIN(C$8,G33))+(K33-MIN(D$8,J33))+(N33-MIN(E$8,M33)))))</f>
        <v/>
      </c>
      <c r="R33" s="23">
        <f>ROUND(P33-Q33,2)</f>
        <v/>
      </c>
      <c r="S33" s="23">
        <f>ROUND(U32*(1+G$7/12),2)</f>
        <v/>
      </c>
      <c r="T33" s="23">
        <f>MIN(G$8,S33)+MAX(0,MIN(S33-MIN(G$8,S33),$C33-((H33-MIN(C$8,G33))+(K33-MIN(D$8,J33))+(N33-MIN(E$8,M33))+(Q33-MIN(F$8,P33)))))</f>
        <v/>
      </c>
      <c r="U33" s="23">
        <f>ROUND(S33-T33,2)</f>
        <v/>
      </c>
    </row>
    <row r="34">
      <c r="A34" t="n">
        <v>23</v>
      </c>
      <c r="B34" s="22">
        <f>EDATE(Debts!$B$5,22)</f>
        <v/>
      </c>
      <c r="C34" s="23">
        <f>MAX(0,Debts!$B$6-(MIN(C$8,G34)+MIN(D$8,J34)+MIN(E$8,M34)+MIN(F$8,P34)+MIN(G$8,S34)))</f>
        <v/>
      </c>
      <c r="D34" s="23">
        <f>H34+K34+N34+Q34+T34</f>
        <v/>
      </c>
      <c r="E34" s="23">
        <f>I34+L34+O34+R34+U34</f>
        <v/>
      </c>
      <c r="F34" s="23" t="n"/>
      <c r="G34" s="23">
        <f>ROUND(I33*(1+C$7/12),2)</f>
        <v/>
      </c>
      <c r="H34" s="23">
        <f>MIN(C$8,G34)+MAX(0,MIN(G34-MIN(C$8,G34),$C34-(0)))</f>
        <v/>
      </c>
      <c r="I34" s="23">
        <f>ROUND(G34-H34,2)</f>
        <v/>
      </c>
      <c r="J34" s="23">
        <f>ROUND(L33*(1+D$7/12),2)</f>
        <v/>
      </c>
      <c r="K34" s="23">
        <f>MIN(D$8,J34)+MAX(0,MIN(J34-MIN(D$8,J34),$C34-((H34-MIN(C$8,G34)))))</f>
        <v/>
      </c>
      <c r="L34" s="23">
        <f>ROUND(J34-K34,2)</f>
        <v/>
      </c>
      <c r="M34" s="23">
        <f>ROUND(O33*(1+E$7/12),2)</f>
        <v/>
      </c>
      <c r="N34" s="23">
        <f>MIN(E$8,M34)+MAX(0,MIN(M34-MIN(E$8,M34),$C34-((H34-MIN(C$8,G34))+(K34-MIN(D$8,J34)))))</f>
        <v/>
      </c>
      <c r="O34" s="23">
        <f>ROUND(M34-N34,2)</f>
        <v/>
      </c>
      <c r="P34" s="23">
        <f>ROUND(R33*(1+F$7/12),2)</f>
        <v/>
      </c>
      <c r="Q34" s="23">
        <f>MIN(F$8,P34)+MAX(0,MIN(P34-MIN(F$8,P34),$C34-((H34-MIN(C$8,G34))+(K34-MIN(D$8,J34))+(N34-MIN(E$8,M34)))))</f>
        <v/>
      </c>
      <c r="R34" s="23">
        <f>ROUND(P34-Q34,2)</f>
        <v/>
      </c>
      <c r="S34" s="23">
        <f>ROUND(U33*(1+G$7/12),2)</f>
        <v/>
      </c>
      <c r="T34" s="23">
        <f>MIN(G$8,S34)+MAX(0,MIN(S34-MIN(G$8,S34),$C34-((H34-MIN(C$8,G34))+(K34-MIN(D$8,J34))+(N34-MIN(E$8,M34))+(Q34-MIN(F$8,P34)))))</f>
        <v/>
      </c>
      <c r="U34" s="23">
        <f>ROUND(S34-T34,2)</f>
        <v/>
      </c>
    </row>
    <row r="35">
      <c r="A35" t="n">
        <v>24</v>
      </c>
      <c r="B35" s="22">
        <f>EDATE(Debts!$B$5,23)</f>
        <v/>
      </c>
      <c r="C35" s="23">
        <f>MAX(0,Debts!$B$6-(MIN(C$8,G35)+MIN(D$8,J35)+MIN(E$8,M35)+MIN(F$8,P35)+MIN(G$8,S35)))</f>
        <v/>
      </c>
      <c r="D35" s="23">
        <f>H35+K35+N35+Q35+T35</f>
        <v/>
      </c>
      <c r="E35" s="23">
        <f>I35+L35+O35+R35+U35</f>
        <v/>
      </c>
      <c r="F35" s="23" t="n"/>
      <c r="G35" s="23">
        <f>ROUND(I34*(1+C$7/12),2)</f>
        <v/>
      </c>
      <c r="H35" s="23">
        <f>MIN(C$8,G35)+MAX(0,MIN(G35-MIN(C$8,G35),$C35-(0)))</f>
        <v/>
      </c>
      <c r="I35" s="23">
        <f>ROUND(G35-H35,2)</f>
        <v/>
      </c>
      <c r="J35" s="23">
        <f>ROUND(L34*(1+D$7/12),2)</f>
        <v/>
      </c>
      <c r="K35" s="23">
        <f>MIN(D$8,J35)+MAX(0,MIN(J35-MIN(D$8,J35),$C35-((H35-MIN(C$8,G35)))))</f>
        <v/>
      </c>
      <c r="L35" s="23">
        <f>ROUND(J35-K35,2)</f>
        <v/>
      </c>
      <c r="M35" s="23">
        <f>ROUND(O34*(1+E$7/12),2)</f>
        <v/>
      </c>
      <c r="N35" s="23">
        <f>MIN(E$8,M35)+MAX(0,MIN(M35-MIN(E$8,M35),$C35-((H35-MIN(C$8,G35))+(K35-MIN(D$8,J35)))))</f>
        <v/>
      </c>
      <c r="O35" s="23">
        <f>ROUND(M35-N35,2)</f>
        <v/>
      </c>
      <c r="P35" s="23">
        <f>ROUND(R34*(1+F$7/12),2)</f>
        <v/>
      </c>
      <c r="Q35" s="23">
        <f>MIN(F$8,P35)+MAX(0,MIN(P35-MIN(F$8,P35),$C35-((H35-MIN(C$8,G35))+(K35-MIN(D$8,J35))+(N35-MIN(E$8,M35)))))</f>
        <v/>
      </c>
      <c r="R35" s="23">
        <f>ROUND(P35-Q35,2)</f>
        <v/>
      </c>
      <c r="S35" s="23">
        <f>ROUND(U34*(1+G$7/12),2)</f>
        <v/>
      </c>
      <c r="T35" s="23">
        <f>MIN(G$8,S35)+MAX(0,MIN(S35-MIN(G$8,S35),$C35-((H35-MIN(C$8,G35))+(K35-MIN(D$8,J35))+(N35-MIN(E$8,M35))+(Q35-MIN(F$8,P35)))))</f>
        <v/>
      </c>
      <c r="U35" s="23">
        <f>ROUND(S35-T35,2)</f>
        <v/>
      </c>
    </row>
    <row r="36">
      <c r="A36" t="n">
        <v>25</v>
      </c>
      <c r="B36" s="22">
        <f>EDATE(Debts!$B$5,24)</f>
        <v/>
      </c>
      <c r="C36" s="23">
        <f>MAX(0,Debts!$B$6-(MIN(C$8,G36)+MIN(D$8,J36)+MIN(E$8,M36)+MIN(F$8,P36)+MIN(G$8,S36)))</f>
        <v/>
      </c>
      <c r="D36" s="23">
        <f>H36+K36+N36+Q36+T36</f>
        <v/>
      </c>
      <c r="E36" s="23">
        <f>I36+L36+O36+R36+U36</f>
        <v/>
      </c>
      <c r="F36" s="23" t="n"/>
      <c r="G36" s="23">
        <f>ROUND(I35*(1+C$7/12),2)</f>
        <v/>
      </c>
      <c r="H36" s="23">
        <f>MIN(C$8,G36)+MAX(0,MIN(G36-MIN(C$8,G36),$C36-(0)))</f>
        <v/>
      </c>
      <c r="I36" s="23">
        <f>ROUND(G36-H36,2)</f>
        <v/>
      </c>
      <c r="J36" s="23">
        <f>ROUND(L35*(1+D$7/12),2)</f>
        <v/>
      </c>
      <c r="K36" s="23">
        <f>MIN(D$8,J36)+MAX(0,MIN(J36-MIN(D$8,J36),$C36-((H36-MIN(C$8,G36)))))</f>
        <v/>
      </c>
      <c r="L36" s="23">
        <f>ROUND(J36-K36,2)</f>
        <v/>
      </c>
      <c r="M36" s="23">
        <f>ROUND(O35*(1+E$7/12),2)</f>
        <v/>
      </c>
      <c r="N36" s="23">
        <f>MIN(E$8,M36)+MAX(0,MIN(M36-MIN(E$8,M36),$C36-((H36-MIN(C$8,G36))+(K36-MIN(D$8,J36)))))</f>
        <v/>
      </c>
      <c r="O36" s="23">
        <f>ROUND(M36-N36,2)</f>
        <v/>
      </c>
      <c r="P36" s="23">
        <f>ROUND(R35*(1+F$7/12),2)</f>
        <v/>
      </c>
      <c r="Q36" s="23">
        <f>MIN(F$8,P36)+MAX(0,MIN(P36-MIN(F$8,P36),$C36-((H36-MIN(C$8,G36))+(K36-MIN(D$8,J36))+(N36-MIN(E$8,M36)))))</f>
        <v/>
      </c>
      <c r="R36" s="23">
        <f>ROUND(P36-Q36,2)</f>
        <v/>
      </c>
      <c r="S36" s="23">
        <f>ROUND(U35*(1+G$7/12),2)</f>
        <v/>
      </c>
      <c r="T36" s="23">
        <f>MIN(G$8,S36)+MAX(0,MIN(S36-MIN(G$8,S36),$C36-((H36-MIN(C$8,G36))+(K36-MIN(D$8,J36))+(N36-MIN(E$8,M36))+(Q36-MIN(F$8,P36)))))</f>
        <v/>
      </c>
      <c r="U36" s="23">
        <f>ROUND(S36-T36,2)</f>
        <v/>
      </c>
    </row>
    <row r="37">
      <c r="A37" t="n">
        <v>26</v>
      </c>
      <c r="B37" s="22">
        <f>EDATE(Debts!$B$5,25)</f>
        <v/>
      </c>
      <c r="C37" s="23">
        <f>MAX(0,Debts!$B$6-(MIN(C$8,G37)+MIN(D$8,J37)+MIN(E$8,M37)+MIN(F$8,P37)+MIN(G$8,S37)))</f>
        <v/>
      </c>
      <c r="D37" s="23">
        <f>H37+K37+N37+Q37+T37</f>
        <v/>
      </c>
      <c r="E37" s="23">
        <f>I37+L37+O37+R37+U37</f>
        <v/>
      </c>
      <c r="F37" s="23" t="n"/>
      <c r="G37" s="23">
        <f>ROUND(I36*(1+C$7/12),2)</f>
        <v/>
      </c>
      <c r="H37" s="23">
        <f>MIN(C$8,G37)+MAX(0,MIN(G37-MIN(C$8,G37),$C37-(0)))</f>
        <v/>
      </c>
      <c r="I37" s="23">
        <f>ROUND(G37-H37,2)</f>
        <v/>
      </c>
      <c r="J37" s="23">
        <f>ROUND(L36*(1+D$7/12),2)</f>
        <v/>
      </c>
      <c r="K37" s="23">
        <f>MIN(D$8,J37)+MAX(0,MIN(J37-MIN(D$8,J37),$C37-((H37-MIN(C$8,G37)))))</f>
        <v/>
      </c>
      <c r="L37" s="23">
        <f>ROUND(J37-K37,2)</f>
        <v/>
      </c>
      <c r="M37" s="23">
        <f>ROUND(O36*(1+E$7/12),2)</f>
        <v/>
      </c>
      <c r="N37" s="23">
        <f>MIN(E$8,M37)+MAX(0,MIN(M37-MIN(E$8,M37),$C37-((H37-MIN(C$8,G37))+(K37-MIN(D$8,J37)))))</f>
        <v/>
      </c>
      <c r="O37" s="23">
        <f>ROUND(M37-N37,2)</f>
        <v/>
      </c>
      <c r="P37" s="23">
        <f>ROUND(R36*(1+F$7/12),2)</f>
        <v/>
      </c>
      <c r="Q37" s="23">
        <f>MIN(F$8,P37)+MAX(0,MIN(P37-MIN(F$8,P37),$C37-((H37-MIN(C$8,G37))+(K37-MIN(D$8,J37))+(N37-MIN(E$8,M37)))))</f>
        <v/>
      </c>
      <c r="R37" s="23">
        <f>ROUND(P37-Q37,2)</f>
        <v/>
      </c>
      <c r="S37" s="23">
        <f>ROUND(U36*(1+G$7/12),2)</f>
        <v/>
      </c>
      <c r="T37" s="23">
        <f>MIN(G$8,S37)+MAX(0,MIN(S37-MIN(G$8,S37),$C37-((H37-MIN(C$8,G37))+(K37-MIN(D$8,J37))+(N37-MIN(E$8,M37))+(Q37-MIN(F$8,P37)))))</f>
        <v/>
      </c>
      <c r="U37" s="23">
        <f>ROUND(S37-T37,2)</f>
        <v/>
      </c>
    </row>
    <row r="38">
      <c r="A38" t="n">
        <v>27</v>
      </c>
      <c r="B38" s="22">
        <f>EDATE(Debts!$B$5,26)</f>
        <v/>
      </c>
      <c r="C38" s="23">
        <f>MAX(0,Debts!$B$6-(MIN(C$8,G38)+MIN(D$8,J38)+MIN(E$8,M38)+MIN(F$8,P38)+MIN(G$8,S38)))</f>
        <v/>
      </c>
      <c r="D38" s="23">
        <f>H38+K38+N38+Q38+T38</f>
        <v/>
      </c>
      <c r="E38" s="23">
        <f>I38+L38+O38+R38+U38</f>
        <v/>
      </c>
      <c r="F38" s="23" t="n"/>
      <c r="G38" s="23">
        <f>ROUND(I37*(1+C$7/12),2)</f>
        <v/>
      </c>
      <c r="H38" s="23">
        <f>MIN(C$8,G38)+MAX(0,MIN(G38-MIN(C$8,G38),$C38-(0)))</f>
        <v/>
      </c>
      <c r="I38" s="23">
        <f>ROUND(G38-H38,2)</f>
        <v/>
      </c>
      <c r="J38" s="23">
        <f>ROUND(L37*(1+D$7/12),2)</f>
        <v/>
      </c>
      <c r="K38" s="23">
        <f>MIN(D$8,J38)+MAX(0,MIN(J38-MIN(D$8,J38),$C38-((H38-MIN(C$8,G38)))))</f>
        <v/>
      </c>
      <c r="L38" s="23">
        <f>ROUND(J38-K38,2)</f>
        <v/>
      </c>
      <c r="M38" s="23">
        <f>ROUND(O37*(1+E$7/12),2)</f>
        <v/>
      </c>
      <c r="N38" s="23">
        <f>MIN(E$8,M38)+MAX(0,MIN(M38-MIN(E$8,M38),$C38-((H38-MIN(C$8,G38))+(K38-MIN(D$8,J38)))))</f>
        <v/>
      </c>
      <c r="O38" s="23">
        <f>ROUND(M38-N38,2)</f>
        <v/>
      </c>
      <c r="P38" s="23">
        <f>ROUND(R37*(1+F$7/12),2)</f>
        <v/>
      </c>
      <c r="Q38" s="23">
        <f>MIN(F$8,P38)+MAX(0,MIN(P38-MIN(F$8,P38),$C38-((H38-MIN(C$8,G38))+(K38-MIN(D$8,J38))+(N38-MIN(E$8,M38)))))</f>
        <v/>
      </c>
      <c r="R38" s="23">
        <f>ROUND(P38-Q38,2)</f>
        <v/>
      </c>
      <c r="S38" s="23">
        <f>ROUND(U37*(1+G$7/12),2)</f>
        <v/>
      </c>
      <c r="T38" s="23">
        <f>MIN(G$8,S38)+MAX(0,MIN(S38-MIN(G$8,S38),$C38-((H38-MIN(C$8,G38))+(K38-MIN(D$8,J38))+(N38-MIN(E$8,M38))+(Q38-MIN(F$8,P38)))))</f>
        <v/>
      </c>
      <c r="U38" s="23">
        <f>ROUND(S38-T38,2)</f>
        <v/>
      </c>
    </row>
    <row r="39">
      <c r="A39" t="n">
        <v>28</v>
      </c>
      <c r="B39" s="22">
        <f>EDATE(Debts!$B$5,27)</f>
        <v/>
      </c>
      <c r="C39" s="23">
        <f>MAX(0,Debts!$B$6-(MIN(C$8,G39)+MIN(D$8,J39)+MIN(E$8,M39)+MIN(F$8,P39)+MIN(G$8,S39)))</f>
        <v/>
      </c>
      <c r="D39" s="23">
        <f>H39+K39+N39+Q39+T39</f>
        <v/>
      </c>
      <c r="E39" s="23">
        <f>I39+L39+O39+R39+U39</f>
        <v/>
      </c>
      <c r="F39" s="23" t="n"/>
      <c r="G39" s="23">
        <f>ROUND(I38*(1+C$7/12),2)</f>
        <v/>
      </c>
      <c r="H39" s="23">
        <f>MIN(C$8,G39)+MAX(0,MIN(G39-MIN(C$8,G39),$C39-(0)))</f>
        <v/>
      </c>
      <c r="I39" s="23">
        <f>ROUND(G39-H39,2)</f>
        <v/>
      </c>
      <c r="J39" s="23">
        <f>ROUND(L38*(1+D$7/12),2)</f>
        <v/>
      </c>
      <c r="K39" s="23">
        <f>MIN(D$8,J39)+MAX(0,MIN(J39-MIN(D$8,J39),$C39-((H39-MIN(C$8,G39)))))</f>
        <v/>
      </c>
      <c r="L39" s="23">
        <f>ROUND(J39-K39,2)</f>
        <v/>
      </c>
      <c r="M39" s="23">
        <f>ROUND(O38*(1+E$7/12),2)</f>
        <v/>
      </c>
      <c r="N39" s="23">
        <f>MIN(E$8,M39)+MAX(0,MIN(M39-MIN(E$8,M39),$C39-((H39-MIN(C$8,G39))+(K39-MIN(D$8,J39)))))</f>
        <v/>
      </c>
      <c r="O39" s="23">
        <f>ROUND(M39-N39,2)</f>
        <v/>
      </c>
      <c r="P39" s="23">
        <f>ROUND(R38*(1+F$7/12),2)</f>
        <v/>
      </c>
      <c r="Q39" s="23">
        <f>MIN(F$8,P39)+MAX(0,MIN(P39-MIN(F$8,P39),$C39-((H39-MIN(C$8,G39))+(K39-MIN(D$8,J39))+(N39-MIN(E$8,M39)))))</f>
        <v/>
      </c>
      <c r="R39" s="23">
        <f>ROUND(P39-Q39,2)</f>
        <v/>
      </c>
      <c r="S39" s="23">
        <f>ROUND(U38*(1+G$7/12),2)</f>
        <v/>
      </c>
      <c r="T39" s="23">
        <f>MIN(G$8,S39)+MAX(0,MIN(S39-MIN(G$8,S39),$C39-((H39-MIN(C$8,G39))+(K39-MIN(D$8,J39))+(N39-MIN(E$8,M39))+(Q39-MIN(F$8,P39)))))</f>
        <v/>
      </c>
      <c r="U39" s="23">
        <f>ROUND(S39-T39,2)</f>
        <v/>
      </c>
    </row>
    <row r="40">
      <c r="A40" t="n">
        <v>29</v>
      </c>
      <c r="B40" s="22">
        <f>EDATE(Debts!$B$5,28)</f>
        <v/>
      </c>
      <c r="C40" s="23">
        <f>MAX(0,Debts!$B$6-(MIN(C$8,G40)+MIN(D$8,J40)+MIN(E$8,M40)+MIN(F$8,P40)+MIN(G$8,S40)))</f>
        <v/>
      </c>
      <c r="D40" s="23">
        <f>H40+K40+N40+Q40+T40</f>
        <v/>
      </c>
      <c r="E40" s="23">
        <f>I40+L40+O40+R40+U40</f>
        <v/>
      </c>
      <c r="F40" s="23" t="n"/>
      <c r="G40" s="23">
        <f>ROUND(I39*(1+C$7/12),2)</f>
        <v/>
      </c>
      <c r="H40" s="23">
        <f>MIN(C$8,G40)+MAX(0,MIN(G40-MIN(C$8,G40),$C40-(0)))</f>
        <v/>
      </c>
      <c r="I40" s="23">
        <f>ROUND(G40-H40,2)</f>
        <v/>
      </c>
      <c r="J40" s="23">
        <f>ROUND(L39*(1+D$7/12),2)</f>
        <v/>
      </c>
      <c r="K40" s="23">
        <f>MIN(D$8,J40)+MAX(0,MIN(J40-MIN(D$8,J40),$C40-((H40-MIN(C$8,G40)))))</f>
        <v/>
      </c>
      <c r="L40" s="23">
        <f>ROUND(J40-K40,2)</f>
        <v/>
      </c>
      <c r="M40" s="23">
        <f>ROUND(O39*(1+E$7/12),2)</f>
        <v/>
      </c>
      <c r="N40" s="23">
        <f>MIN(E$8,M40)+MAX(0,MIN(M40-MIN(E$8,M40),$C40-((H40-MIN(C$8,G40))+(K40-MIN(D$8,J40)))))</f>
        <v/>
      </c>
      <c r="O40" s="23">
        <f>ROUND(M40-N40,2)</f>
        <v/>
      </c>
      <c r="P40" s="23">
        <f>ROUND(R39*(1+F$7/12),2)</f>
        <v/>
      </c>
      <c r="Q40" s="23">
        <f>MIN(F$8,P40)+MAX(0,MIN(P40-MIN(F$8,P40),$C40-((H40-MIN(C$8,G40))+(K40-MIN(D$8,J40))+(N40-MIN(E$8,M40)))))</f>
        <v/>
      </c>
      <c r="R40" s="23">
        <f>ROUND(P40-Q40,2)</f>
        <v/>
      </c>
      <c r="S40" s="23">
        <f>ROUND(U39*(1+G$7/12),2)</f>
        <v/>
      </c>
      <c r="T40" s="23">
        <f>MIN(G$8,S40)+MAX(0,MIN(S40-MIN(G$8,S40),$C40-((H40-MIN(C$8,G40))+(K40-MIN(D$8,J40))+(N40-MIN(E$8,M40))+(Q40-MIN(F$8,P40)))))</f>
        <v/>
      </c>
      <c r="U40" s="23">
        <f>ROUND(S40-T40,2)</f>
        <v/>
      </c>
    </row>
    <row r="41">
      <c r="A41" t="n">
        <v>30</v>
      </c>
      <c r="B41" s="22">
        <f>EDATE(Debts!$B$5,29)</f>
        <v/>
      </c>
      <c r="C41" s="23">
        <f>MAX(0,Debts!$B$6-(MIN(C$8,G41)+MIN(D$8,J41)+MIN(E$8,M41)+MIN(F$8,P41)+MIN(G$8,S41)))</f>
        <v/>
      </c>
      <c r="D41" s="23">
        <f>H41+K41+N41+Q41+T41</f>
        <v/>
      </c>
      <c r="E41" s="23">
        <f>I41+L41+O41+R41+U41</f>
        <v/>
      </c>
      <c r="F41" s="23" t="n"/>
      <c r="G41" s="23">
        <f>ROUND(I40*(1+C$7/12),2)</f>
        <v/>
      </c>
      <c r="H41" s="23">
        <f>MIN(C$8,G41)+MAX(0,MIN(G41-MIN(C$8,G41),$C41-(0)))</f>
        <v/>
      </c>
      <c r="I41" s="23">
        <f>ROUND(G41-H41,2)</f>
        <v/>
      </c>
      <c r="J41" s="23">
        <f>ROUND(L40*(1+D$7/12),2)</f>
        <v/>
      </c>
      <c r="K41" s="23">
        <f>MIN(D$8,J41)+MAX(0,MIN(J41-MIN(D$8,J41),$C41-((H41-MIN(C$8,G41)))))</f>
        <v/>
      </c>
      <c r="L41" s="23">
        <f>ROUND(J41-K41,2)</f>
        <v/>
      </c>
      <c r="M41" s="23">
        <f>ROUND(O40*(1+E$7/12),2)</f>
        <v/>
      </c>
      <c r="N41" s="23">
        <f>MIN(E$8,M41)+MAX(0,MIN(M41-MIN(E$8,M41),$C41-((H41-MIN(C$8,G41))+(K41-MIN(D$8,J41)))))</f>
        <v/>
      </c>
      <c r="O41" s="23">
        <f>ROUND(M41-N41,2)</f>
        <v/>
      </c>
      <c r="P41" s="23">
        <f>ROUND(R40*(1+F$7/12),2)</f>
        <v/>
      </c>
      <c r="Q41" s="23">
        <f>MIN(F$8,P41)+MAX(0,MIN(P41-MIN(F$8,P41),$C41-((H41-MIN(C$8,G41))+(K41-MIN(D$8,J41))+(N41-MIN(E$8,M41)))))</f>
        <v/>
      </c>
      <c r="R41" s="23">
        <f>ROUND(P41-Q41,2)</f>
        <v/>
      </c>
      <c r="S41" s="23">
        <f>ROUND(U40*(1+G$7/12),2)</f>
        <v/>
      </c>
      <c r="T41" s="23">
        <f>MIN(G$8,S41)+MAX(0,MIN(S41-MIN(G$8,S41),$C41-((H41-MIN(C$8,G41))+(K41-MIN(D$8,J41))+(N41-MIN(E$8,M41))+(Q41-MIN(F$8,P41)))))</f>
        <v/>
      </c>
      <c r="U41" s="23">
        <f>ROUND(S41-T41,2)</f>
        <v/>
      </c>
    </row>
    <row r="42">
      <c r="A42" t="n">
        <v>31</v>
      </c>
      <c r="B42" s="22">
        <f>EDATE(Debts!$B$5,30)</f>
        <v/>
      </c>
      <c r="C42" s="23">
        <f>MAX(0,Debts!$B$6-(MIN(C$8,G42)+MIN(D$8,J42)+MIN(E$8,M42)+MIN(F$8,P42)+MIN(G$8,S42)))</f>
        <v/>
      </c>
      <c r="D42" s="23">
        <f>H42+K42+N42+Q42+T42</f>
        <v/>
      </c>
      <c r="E42" s="23">
        <f>I42+L42+O42+R42+U42</f>
        <v/>
      </c>
      <c r="F42" s="23" t="n"/>
      <c r="G42" s="23">
        <f>ROUND(I41*(1+C$7/12),2)</f>
        <v/>
      </c>
      <c r="H42" s="23">
        <f>MIN(C$8,G42)+MAX(0,MIN(G42-MIN(C$8,G42),$C42-(0)))</f>
        <v/>
      </c>
      <c r="I42" s="23">
        <f>ROUND(G42-H42,2)</f>
        <v/>
      </c>
      <c r="J42" s="23">
        <f>ROUND(L41*(1+D$7/12),2)</f>
        <v/>
      </c>
      <c r="K42" s="23">
        <f>MIN(D$8,J42)+MAX(0,MIN(J42-MIN(D$8,J42),$C42-((H42-MIN(C$8,G42)))))</f>
        <v/>
      </c>
      <c r="L42" s="23">
        <f>ROUND(J42-K42,2)</f>
        <v/>
      </c>
      <c r="M42" s="23">
        <f>ROUND(O41*(1+E$7/12),2)</f>
        <v/>
      </c>
      <c r="N42" s="23">
        <f>MIN(E$8,M42)+MAX(0,MIN(M42-MIN(E$8,M42),$C42-((H42-MIN(C$8,G42))+(K42-MIN(D$8,J42)))))</f>
        <v/>
      </c>
      <c r="O42" s="23">
        <f>ROUND(M42-N42,2)</f>
        <v/>
      </c>
      <c r="P42" s="23">
        <f>ROUND(R41*(1+F$7/12),2)</f>
        <v/>
      </c>
      <c r="Q42" s="23">
        <f>MIN(F$8,P42)+MAX(0,MIN(P42-MIN(F$8,P42),$C42-((H42-MIN(C$8,G42))+(K42-MIN(D$8,J42))+(N42-MIN(E$8,M42)))))</f>
        <v/>
      </c>
      <c r="R42" s="23">
        <f>ROUND(P42-Q42,2)</f>
        <v/>
      </c>
      <c r="S42" s="23">
        <f>ROUND(U41*(1+G$7/12),2)</f>
        <v/>
      </c>
      <c r="T42" s="23">
        <f>MIN(G$8,S42)+MAX(0,MIN(S42-MIN(G$8,S42),$C42-((H42-MIN(C$8,G42))+(K42-MIN(D$8,J42))+(N42-MIN(E$8,M42))+(Q42-MIN(F$8,P42)))))</f>
        <v/>
      </c>
      <c r="U42" s="23">
        <f>ROUND(S42-T42,2)</f>
        <v/>
      </c>
    </row>
    <row r="43">
      <c r="A43" t="n">
        <v>32</v>
      </c>
      <c r="B43" s="22">
        <f>EDATE(Debts!$B$5,31)</f>
        <v/>
      </c>
      <c r="C43" s="23">
        <f>MAX(0,Debts!$B$6-(MIN(C$8,G43)+MIN(D$8,J43)+MIN(E$8,M43)+MIN(F$8,P43)+MIN(G$8,S43)))</f>
        <v/>
      </c>
      <c r="D43" s="23">
        <f>H43+K43+N43+Q43+T43</f>
        <v/>
      </c>
      <c r="E43" s="23">
        <f>I43+L43+O43+R43+U43</f>
        <v/>
      </c>
      <c r="F43" s="23" t="n"/>
      <c r="G43" s="23">
        <f>ROUND(I42*(1+C$7/12),2)</f>
        <v/>
      </c>
      <c r="H43" s="23">
        <f>MIN(C$8,G43)+MAX(0,MIN(G43-MIN(C$8,G43),$C43-(0)))</f>
        <v/>
      </c>
      <c r="I43" s="23">
        <f>ROUND(G43-H43,2)</f>
        <v/>
      </c>
      <c r="J43" s="23">
        <f>ROUND(L42*(1+D$7/12),2)</f>
        <v/>
      </c>
      <c r="K43" s="23">
        <f>MIN(D$8,J43)+MAX(0,MIN(J43-MIN(D$8,J43),$C43-((H43-MIN(C$8,G43)))))</f>
        <v/>
      </c>
      <c r="L43" s="23">
        <f>ROUND(J43-K43,2)</f>
        <v/>
      </c>
      <c r="M43" s="23">
        <f>ROUND(O42*(1+E$7/12),2)</f>
        <v/>
      </c>
      <c r="N43" s="23">
        <f>MIN(E$8,M43)+MAX(0,MIN(M43-MIN(E$8,M43),$C43-((H43-MIN(C$8,G43))+(K43-MIN(D$8,J43)))))</f>
        <v/>
      </c>
      <c r="O43" s="23">
        <f>ROUND(M43-N43,2)</f>
        <v/>
      </c>
      <c r="P43" s="23">
        <f>ROUND(R42*(1+F$7/12),2)</f>
        <v/>
      </c>
      <c r="Q43" s="23">
        <f>MIN(F$8,P43)+MAX(0,MIN(P43-MIN(F$8,P43),$C43-((H43-MIN(C$8,G43))+(K43-MIN(D$8,J43))+(N43-MIN(E$8,M43)))))</f>
        <v/>
      </c>
      <c r="R43" s="23">
        <f>ROUND(P43-Q43,2)</f>
        <v/>
      </c>
      <c r="S43" s="23">
        <f>ROUND(U42*(1+G$7/12),2)</f>
        <v/>
      </c>
      <c r="T43" s="23">
        <f>MIN(G$8,S43)+MAX(0,MIN(S43-MIN(G$8,S43),$C43-((H43-MIN(C$8,G43))+(K43-MIN(D$8,J43))+(N43-MIN(E$8,M43))+(Q43-MIN(F$8,P43)))))</f>
        <v/>
      </c>
      <c r="U43" s="23">
        <f>ROUND(S43-T43,2)</f>
        <v/>
      </c>
    </row>
    <row r="44">
      <c r="A44" t="n">
        <v>33</v>
      </c>
      <c r="B44" s="22">
        <f>EDATE(Debts!$B$5,32)</f>
        <v/>
      </c>
      <c r="C44" s="23">
        <f>MAX(0,Debts!$B$6-(MIN(C$8,G44)+MIN(D$8,J44)+MIN(E$8,M44)+MIN(F$8,P44)+MIN(G$8,S44)))</f>
        <v/>
      </c>
      <c r="D44" s="23">
        <f>H44+K44+N44+Q44+T44</f>
        <v/>
      </c>
      <c r="E44" s="23">
        <f>I44+L44+O44+R44+U44</f>
        <v/>
      </c>
      <c r="F44" s="23" t="n"/>
      <c r="G44" s="23">
        <f>ROUND(I43*(1+C$7/12),2)</f>
        <v/>
      </c>
      <c r="H44" s="23">
        <f>MIN(C$8,G44)+MAX(0,MIN(G44-MIN(C$8,G44),$C44-(0)))</f>
        <v/>
      </c>
      <c r="I44" s="23">
        <f>ROUND(G44-H44,2)</f>
        <v/>
      </c>
      <c r="J44" s="23">
        <f>ROUND(L43*(1+D$7/12),2)</f>
        <v/>
      </c>
      <c r="K44" s="23">
        <f>MIN(D$8,J44)+MAX(0,MIN(J44-MIN(D$8,J44),$C44-((H44-MIN(C$8,G44)))))</f>
        <v/>
      </c>
      <c r="L44" s="23">
        <f>ROUND(J44-K44,2)</f>
        <v/>
      </c>
      <c r="M44" s="23">
        <f>ROUND(O43*(1+E$7/12),2)</f>
        <v/>
      </c>
      <c r="N44" s="23">
        <f>MIN(E$8,M44)+MAX(0,MIN(M44-MIN(E$8,M44),$C44-((H44-MIN(C$8,G44))+(K44-MIN(D$8,J44)))))</f>
        <v/>
      </c>
      <c r="O44" s="23">
        <f>ROUND(M44-N44,2)</f>
        <v/>
      </c>
      <c r="P44" s="23">
        <f>ROUND(R43*(1+F$7/12),2)</f>
        <v/>
      </c>
      <c r="Q44" s="23">
        <f>MIN(F$8,P44)+MAX(0,MIN(P44-MIN(F$8,P44),$C44-((H44-MIN(C$8,G44))+(K44-MIN(D$8,J44))+(N44-MIN(E$8,M44)))))</f>
        <v/>
      </c>
      <c r="R44" s="23">
        <f>ROUND(P44-Q44,2)</f>
        <v/>
      </c>
      <c r="S44" s="23">
        <f>ROUND(U43*(1+G$7/12),2)</f>
        <v/>
      </c>
      <c r="T44" s="23">
        <f>MIN(G$8,S44)+MAX(0,MIN(S44-MIN(G$8,S44),$C44-((H44-MIN(C$8,G44))+(K44-MIN(D$8,J44))+(N44-MIN(E$8,M44))+(Q44-MIN(F$8,P44)))))</f>
        <v/>
      </c>
      <c r="U44" s="23">
        <f>ROUND(S44-T44,2)</f>
        <v/>
      </c>
    </row>
    <row r="45">
      <c r="A45" t="n">
        <v>34</v>
      </c>
      <c r="B45" s="22">
        <f>EDATE(Debts!$B$5,33)</f>
        <v/>
      </c>
      <c r="C45" s="23">
        <f>MAX(0,Debts!$B$6-(MIN(C$8,G45)+MIN(D$8,J45)+MIN(E$8,M45)+MIN(F$8,P45)+MIN(G$8,S45)))</f>
        <v/>
      </c>
      <c r="D45" s="23">
        <f>H45+K45+N45+Q45+T45</f>
        <v/>
      </c>
      <c r="E45" s="23">
        <f>I45+L45+O45+R45+U45</f>
        <v/>
      </c>
      <c r="F45" s="23" t="n"/>
      <c r="G45" s="23">
        <f>ROUND(I44*(1+C$7/12),2)</f>
        <v/>
      </c>
      <c r="H45" s="23">
        <f>MIN(C$8,G45)+MAX(0,MIN(G45-MIN(C$8,G45),$C45-(0)))</f>
        <v/>
      </c>
      <c r="I45" s="23">
        <f>ROUND(G45-H45,2)</f>
        <v/>
      </c>
      <c r="J45" s="23">
        <f>ROUND(L44*(1+D$7/12),2)</f>
        <v/>
      </c>
      <c r="K45" s="23">
        <f>MIN(D$8,J45)+MAX(0,MIN(J45-MIN(D$8,J45),$C45-((H45-MIN(C$8,G45)))))</f>
        <v/>
      </c>
      <c r="L45" s="23">
        <f>ROUND(J45-K45,2)</f>
        <v/>
      </c>
      <c r="M45" s="23">
        <f>ROUND(O44*(1+E$7/12),2)</f>
        <v/>
      </c>
      <c r="N45" s="23">
        <f>MIN(E$8,M45)+MAX(0,MIN(M45-MIN(E$8,M45),$C45-((H45-MIN(C$8,G45))+(K45-MIN(D$8,J45)))))</f>
        <v/>
      </c>
      <c r="O45" s="23">
        <f>ROUND(M45-N45,2)</f>
        <v/>
      </c>
      <c r="P45" s="23">
        <f>ROUND(R44*(1+F$7/12),2)</f>
        <v/>
      </c>
      <c r="Q45" s="23">
        <f>MIN(F$8,P45)+MAX(0,MIN(P45-MIN(F$8,P45),$C45-((H45-MIN(C$8,G45))+(K45-MIN(D$8,J45))+(N45-MIN(E$8,M45)))))</f>
        <v/>
      </c>
      <c r="R45" s="23">
        <f>ROUND(P45-Q45,2)</f>
        <v/>
      </c>
      <c r="S45" s="23">
        <f>ROUND(U44*(1+G$7/12),2)</f>
        <v/>
      </c>
      <c r="T45" s="23">
        <f>MIN(G$8,S45)+MAX(0,MIN(S45-MIN(G$8,S45),$C45-((H45-MIN(C$8,G45))+(K45-MIN(D$8,J45))+(N45-MIN(E$8,M45))+(Q45-MIN(F$8,P45)))))</f>
        <v/>
      </c>
      <c r="U45" s="23">
        <f>ROUND(S45-T45,2)</f>
        <v/>
      </c>
    </row>
    <row r="46">
      <c r="A46" t="n">
        <v>35</v>
      </c>
      <c r="B46" s="22">
        <f>EDATE(Debts!$B$5,34)</f>
        <v/>
      </c>
      <c r="C46" s="23">
        <f>MAX(0,Debts!$B$6-(MIN(C$8,G46)+MIN(D$8,J46)+MIN(E$8,M46)+MIN(F$8,P46)+MIN(G$8,S46)))</f>
        <v/>
      </c>
      <c r="D46" s="23">
        <f>H46+K46+N46+Q46+T46</f>
        <v/>
      </c>
      <c r="E46" s="23">
        <f>I46+L46+O46+R46+U46</f>
        <v/>
      </c>
      <c r="F46" s="23" t="n"/>
      <c r="G46" s="23">
        <f>ROUND(I45*(1+C$7/12),2)</f>
        <v/>
      </c>
      <c r="H46" s="23">
        <f>MIN(C$8,G46)+MAX(0,MIN(G46-MIN(C$8,G46),$C46-(0)))</f>
        <v/>
      </c>
      <c r="I46" s="23">
        <f>ROUND(G46-H46,2)</f>
        <v/>
      </c>
      <c r="J46" s="23">
        <f>ROUND(L45*(1+D$7/12),2)</f>
        <v/>
      </c>
      <c r="K46" s="23">
        <f>MIN(D$8,J46)+MAX(0,MIN(J46-MIN(D$8,J46),$C46-((H46-MIN(C$8,G46)))))</f>
        <v/>
      </c>
      <c r="L46" s="23">
        <f>ROUND(J46-K46,2)</f>
        <v/>
      </c>
      <c r="M46" s="23">
        <f>ROUND(O45*(1+E$7/12),2)</f>
        <v/>
      </c>
      <c r="N46" s="23">
        <f>MIN(E$8,M46)+MAX(0,MIN(M46-MIN(E$8,M46),$C46-((H46-MIN(C$8,G46))+(K46-MIN(D$8,J46)))))</f>
        <v/>
      </c>
      <c r="O46" s="23">
        <f>ROUND(M46-N46,2)</f>
        <v/>
      </c>
      <c r="P46" s="23">
        <f>ROUND(R45*(1+F$7/12),2)</f>
        <v/>
      </c>
      <c r="Q46" s="23">
        <f>MIN(F$8,P46)+MAX(0,MIN(P46-MIN(F$8,P46),$C46-((H46-MIN(C$8,G46))+(K46-MIN(D$8,J46))+(N46-MIN(E$8,M46)))))</f>
        <v/>
      </c>
      <c r="R46" s="23">
        <f>ROUND(P46-Q46,2)</f>
        <v/>
      </c>
      <c r="S46" s="23">
        <f>ROUND(U45*(1+G$7/12),2)</f>
        <v/>
      </c>
      <c r="T46" s="23">
        <f>MIN(G$8,S46)+MAX(0,MIN(S46-MIN(G$8,S46),$C46-((H46-MIN(C$8,G46))+(K46-MIN(D$8,J46))+(N46-MIN(E$8,M46))+(Q46-MIN(F$8,P46)))))</f>
        <v/>
      </c>
      <c r="U46" s="23">
        <f>ROUND(S46-T46,2)</f>
        <v/>
      </c>
    </row>
    <row r="47">
      <c r="A47" t="n">
        <v>36</v>
      </c>
      <c r="B47" s="22">
        <f>EDATE(Debts!$B$5,35)</f>
        <v/>
      </c>
      <c r="C47" s="23">
        <f>MAX(0,Debts!$B$6-(MIN(C$8,G47)+MIN(D$8,J47)+MIN(E$8,M47)+MIN(F$8,P47)+MIN(G$8,S47)))</f>
        <v/>
      </c>
      <c r="D47" s="23">
        <f>H47+K47+N47+Q47+T47</f>
        <v/>
      </c>
      <c r="E47" s="23">
        <f>I47+L47+O47+R47+U47</f>
        <v/>
      </c>
      <c r="F47" s="23" t="n"/>
      <c r="G47" s="23">
        <f>ROUND(I46*(1+C$7/12),2)</f>
        <v/>
      </c>
      <c r="H47" s="23">
        <f>MIN(C$8,G47)+MAX(0,MIN(G47-MIN(C$8,G47),$C47-(0)))</f>
        <v/>
      </c>
      <c r="I47" s="23">
        <f>ROUND(G47-H47,2)</f>
        <v/>
      </c>
      <c r="J47" s="23">
        <f>ROUND(L46*(1+D$7/12),2)</f>
        <v/>
      </c>
      <c r="K47" s="23">
        <f>MIN(D$8,J47)+MAX(0,MIN(J47-MIN(D$8,J47),$C47-((H47-MIN(C$8,G47)))))</f>
        <v/>
      </c>
      <c r="L47" s="23">
        <f>ROUND(J47-K47,2)</f>
        <v/>
      </c>
      <c r="M47" s="23">
        <f>ROUND(O46*(1+E$7/12),2)</f>
        <v/>
      </c>
      <c r="N47" s="23">
        <f>MIN(E$8,M47)+MAX(0,MIN(M47-MIN(E$8,M47),$C47-((H47-MIN(C$8,G47))+(K47-MIN(D$8,J47)))))</f>
        <v/>
      </c>
      <c r="O47" s="23">
        <f>ROUND(M47-N47,2)</f>
        <v/>
      </c>
      <c r="P47" s="23">
        <f>ROUND(R46*(1+F$7/12),2)</f>
        <v/>
      </c>
      <c r="Q47" s="23">
        <f>MIN(F$8,P47)+MAX(0,MIN(P47-MIN(F$8,P47),$C47-((H47-MIN(C$8,G47))+(K47-MIN(D$8,J47))+(N47-MIN(E$8,M47)))))</f>
        <v/>
      </c>
      <c r="R47" s="23">
        <f>ROUND(P47-Q47,2)</f>
        <v/>
      </c>
      <c r="S47" s="23">
        <f>ROUND(U46*(1+G$7/12),2)</f>
        <v/>
      </c>
      <c r="T47" s="23">
        <f>MIN(G$8,S47)+MAX(0,MIN(S47-MIN(G$8,S47),$C47-((H47-MIN(C$8,G47))+(K47-MIN(D$8,J47))+(N47-MIN(E$8,M47))+(Q47-MIN(F$8,P47)))))</f>
        <v/>
      </c>
      <c r="U47" s="23">
        <f>ROUND(S47-T47,2)</f>
        <v/>
      </c>
    </row>
    <row r="48">
      <c r="A48" t="n">
        <v>37</v>
      </c>
      <c r="B48" s="22">
        <f>EDATE(Debts!$B$5,36)</f>
        <v/>
      </c>
      <c r="C48" s="23">
        <f>MAX(0,Debts!$B$6-(MIN(C$8,G48)+MIN(D$8,J48)+MIN(E$8,M48)+MIN(F$8,P48)+MIN(G$8,S48)))</f>
        <v/>
      </c>
      <c r="D48" s="23">
        <f>H48+K48+N48+Q48+T48</f>
        <v/>
      </c>
      <c r="E48" s="23">
        <f>I48+L48+O48+R48+U48</f>
        <v/>
      </c>
      <c r="F48" s="23" t="n"/>
      <c r="G48" s="23">
        <f>ROUND(I47*(1+C$7/12),2)</f>
        <v/>
      </c>
      <c r="H48" s="23">
        <f>MIN(C$8,G48)+MAX(0,MIN(G48-MIN(C$8,G48),$C48-(0)))</f>
        <v/>
      </c>
      <c r="I48" s="23">
        <f>ROUND(G48-H48,2)</f>
        <v/>
      </c>
      <c r="J48" s="23">
        <f>ROUND(L47*(1+D$7/12),2)</f>
        <v/>
      </c>
      <c r="K48" s="23">
        <f>MIN(D$8,J48)+MAX(0,MIN(J48-MIN(D$8,J48),$C48-((H48-MIN(C$8,G48)))))</f>
        <v/>
      </c>
      <c r="L48" s="23">
        <f>ROUND(J48-K48,2)</f>
        <v/>
      </c>
      <c r="M48" s="23">
        <f>ROUND(O47*(1+E$7/12),2)</f>
        <v/>
      </c>
      <c r="N48" s="23">
        <f>MIN(E$8,M48)+MAX(0,MIN(M48-MIN(E$8,M48),$C48-((H48-MIN(C$8,G48))+(K48-MIN(D$8,J48)))))</f>
        <v/>
      </c>
      <c r="O48" s="23">
        <f>ROUND(M48-N48,2)</f>
        <v/>
      </c>
      <c r="P48" s="23">
        <f>ROUND(R47*(1+F$7/12),2)</f>
        <v/>
      </c>
      <c r="Q48" s="23">
        <f>MIN(F$8,P48)+MAX(0,MIN(P48-MIN(F$8,P48),$C48-((H48-MIN(C$8,G48))+(K48-MIN(D$8,J48))+(N48-MIN(E$8,M48)))))</f>
        <v/>
      </c>
      <c r="R48" s="23">
        <f>ROUND(P48-Q48,2)</f>
        <v/>
      </c>
      <c r="S48" s="23">
        <f>ROUND(U47*(1+G$7/12),2)</f>
        <v/>
      </c>
      <c r="T48" s="23">
        <f>MIN(G$8,S48)+MAX(0,MIN(S48-MIN(G$8,S48),$C48-((H48-MIN(C$8,G48))+(K48-MIN(D$8,J48))+(N48-MIN(E$8,M48))+(Q48-MIN(F$8,P48)))))</f>
        <v/>
      </c>
      <c r="U48" s="23">
        <f>ROUND(S48-T48,2)</f>
        <v/>
      </c>
    </row>
    <row r="49">
      <c r="A49" t="n">
        <v>38</v>
      </c>
      <c r="B49" s="22">
        <f>EDATE(Debts!$B$5,37)</f>
        <v/>
      </c>
      <c r="C49" s="23">
        <f>MAX(0,Debts!$B$6-(MIN(C$8,G49)+MIN(D$8,J49)+MIN(E$8,M49)+MIN(F$8,P49)+MIN(G$8,S49)))</f>
        <v/>
      </c>
      <c r="D49" s="23">
        <f>H49+K49+N49+Q49+T49</f>
        <v/>
      </c>
      <c r="E49" s="23">
        <f>I49+L49+O49+R49+U49</f>
        <v/>
      </c>
      <c r="F49" s="23" t="n"/>
      <c r="G49" s="23">
        <f>ROUND(I48*(1+C$7/12),2)</f>
        <v/>
      </c>
      <c r="H49" s="23">
        <f>MIN(C$8,G49)+MAX(0,MIN(G49-MIN(C$8,G49),$C49-(0)))</f>
        <v/>
      </c>
      <c r="I49" s="23">
        <f>ROUND(G49-H49,2)</f>
        <v/>
      </c>
      <c r="J49" s="23">
        <f>ROUND(L48*(1+D$7/12),2)</f>
        <v/>
      </c>
      <c r="K49" s="23">
        <f>MIN(D$8,J49)+MAX(0,MIN(J49-MIN(D$8,J49),$C49-((H49-MIN(C$8,G49)))))</f>
        <v/>
      </c>
      <c r="L49" s="23">
        <f>ROUND(J49-K49,2)</f>
        <v/>
      </c>
      <c r="M49" s="23">
        <f>ROUND(O48*(1+E$7/12),2)</f>
        <v/>
      </c>
      <c r="N49" s="23">
        <f>MIN(E$8,M49)+MAX(0,MIN(M49-MIN(E$8,M49),$C49-((H49-MIN(C$8,G49))+(K49-MIN(D$8,J49)))))</f>
        <v/>
      </c>
      <c r="O49" s="23">
        <f>ROUND(M49-N49,2)</f>
        <v/>
      </c>
      <c r="P49" s="23">
        <f>ROUND(R48*(1+F$7/12),2)</f>
        <v/>
      </c>
      <c r="Q49" s="23">
        <f>MIN(F$8,P49)+MAX(0,MIN(P49-MIN(F$8,P49),$C49-((H49-MIN(C$8,G49))+(K49-MIN(D$8,J49))+(N49-MIN(E$8,M49)))))</f>
        <v/>
      </c>
      <c r="R49" s="23">
        <f>ROUND(P49-Q49,2)</f>
        <v/>
      </c>
      <c r="S49" s="23">
        <f>ROUND(U48*(1+G$7/12),2)</f>
        <v/>
      </c>
      <c r="T49" s="23">
        <f>MIN(G$8,S49)+MAX(0,MIN(S49-MIN(G$8,S49),$C49-((H49-MIN(C$8,G49))+(K49-MIN(D$8,J49))+(N49-MIN(E$8,M49))+(Q49-MIN(F$8,P49)))))</f>
        <v/>
      </c>
      <c r="U49" s="23">
        <f>ROUND(S49-T49,2)</f>
        <v/>
      </c>
    </row>
    <row r="50">
      <c r="A50" t="n">
        <v>39</v>
      </c>
      <c r="B50" s="22">
        <f>EDATE(Debts!$B$5,38)</f>
        <v/>
      </c>
      <c r="C50" s="23">
        <f>MAX(0,Debts!$B$6-(MIN(C$8,G50)+MIN(D$8,J50)+MIN(E$8,M50)+MIN(F$8,P50)+MIN(G$8,S50)))</f>
        <v/>
      </c>
      <c r="D50" s="23">
        <f>H50+K50+N50+Q50+T50</f>
        <v/>
      </c>
      <c r="E50" s="23">
        <f>I50+L50+O50+R50+U50</f>
        <v/>
      </c>
      <c r="F50" s="23" t="n"/>
      <c r="G50" s="23">
        <f>ROUND(I49*(1+C$7/12),2)</f>
        <v/>
      </c>
      <c r="H50" s="23">
        <f>MIN(C$8,G50)+MAX(0,MIN(G50-MIN(C$8,G50),$C50-(0)))</f>
        <v/>
      </c>
      <c r="I50" s="23">
        <f>ROUND(G50-H50,2)</f>
        <v/>
      </c>
      <c r="J50" s="23">
        <f>ROUND(L49*(1+D$7/12),2)</f>
        <v/>
      </c>
      <c r="K50" s="23">
        <f>MIN(D$8,J50)+MAX(0,MIN(J50-MIN(D$8,J50),$C50-((H50-MIN(C$8,G50)))))</f>
        <v/>
      </c>
      <c r="L50" s="23">
        <f>ROUND(J50-K50,2)</f>
        <v/>
      </c>
      <c r="M50" s="23">
        <f>ROUND(O49*(1+E$7/12),2)</f>
        <v/>
      </c>
      <c r="N50" s="23">
        <f>MIN(E$8,M50)+MAX(0,MIN(M50-MIN(E$8,M50),$C50-((H50-MIN(C$8,G50))+(K50-MIN(D$8,J50)))))</f>
        <v/>
      </c>
      <c r="O50" s="23">
        <f>ROUND(M50-N50,2)</f>
        <v/>
      </c>
      <c r="P50" s="23">
        <f>ROUND(R49*(1+F$7/12),2)</f>
        <v/>
      </c>
      <c r="Q50" s="23">
        <f>MIN(F$8,P50)+MAX(0,MIN(P50-MIN(F$8,P50),$C50-((H50-MIN(C$8,G50))+(K50-MIN(D$8,J50))+(N50-MIN(E$8,M50)))))</f>
        <v/>
      </c>
      <c r="R50" s="23">
        <f>ROUND(P50-Q50,2)</f>
        <v/>
      </c>
      <c r="S50" s="23">
        <f>ROUND(U49*(1+G$7/12),2)</f>
        <v/>
      </c>
      <c r="T50" s="23">
        <f>MIN(G$8,S50)+MAX(0,MIN(S50-MIN(G$8,S50),$C50-((H50-MIN(C$8,G50))+(K50-MIN(D$8,J50))+(N50-MIN(E$8,M50))+(Q50-MIN(F$8,P50)))))</f>
        <v/>
      </c>
      <c r="U50" s="23">
        <f>ROUND(S50-T50,2)</f>
        <v/>
      </c>
    </row>
    <row r="51">
      <c r="A51" t="n">
        <v>40</v>
      </c>
      <c r="B51" s="22">
        <f>EDATE(Debts!$B$5,39)</f>
        <v/>
      </c>
      <c r="C51" s="23">
        <f>MAX(0,Debts!$B$6-(MIN(C$8,G51)+MIN(D$8,J51)+MIN(E$8,M51)+MIN(F$8,P51)+MIN(G$8,S51)))</f>
        <v/>
      </c>
      <c r="D51" s="23">
        <f>H51+K51+N51+Q51+T51</f>
        <v/>
      </c>
      <c r="E51" s="23">
        <f>I51+L51+O51+R51+U51</f>
        <v/>
      </c>
      <c r="F51" s="23" t="n"/>
      <c r="G51" s="23">
        <f>ROUND(I50*(1+C$7/12),2)</f>
        <v/>
      </c>
      <c r="H51" s="23">
        <f>MIN(C$8,G51)+MAX(0,MIN(G51-MIN(C$8,G51),$C51-(0)))</f>
        <v/>
      </c>
      <c r="I51" s="23">
        <f>ROUND(G51-H51,2)</f>
        <v/>
      </c>
      <c r="J51" s="23">
        <f>ROUND(L50*(1+D$7/12),2)</f>
        <v/>
      </c>
      <c r="K51" s="23">
        <f>MIN(D$8,J51)+MAX(0,MIN(J51-MIN(D$8,J51),$C51-((H51-MIN(C$8,G51)))))</f>
        <v/>
      </c>
      <c r="L51" s="23">
        <f>ROUND(J51-K51,2)</f>
        <v/>
      </c>
      <c r="M51" s="23">
        <f>ROUND(O50*(1+E$7/12),2)</f>
        <v/>
      </c>
      <c r="N51" s="23">
        <f>MIN(E$8,M51)+MAX(0,MIN(M51-MIN(E$8,M51),$C51-((H51-MIN(C$8,G51))+(K51-MIN(D$8,J51)))))</f>
        <v/>
      </c>
      <c r="O51" s="23">
        <f>ROUND(M51-N51,2)</f>
        <v/>
      </c>
      <c r="P51" s="23">
        <f>ROUND(R50*(1+F$7/12),2)</f>
        <v/>
      </c>
      <c r="Q51" s="23">
        <f>MIN(F$8,P51)+MAX(0,MIN(P51-MIN(F$8,P51),$C51-((H51-MIN(C$8,G51))+(K51-MIN(D$8,J51))+(N51-MIN(E$8,M51)))))</f>
        <v/>
      </c>
      <c r="R51" s="23">
        <f>ROUND(P51-Q51,2)</f>
        <v/>
      </c>
      <c r="S51" s="23">
        <f>ROUND(U50*(1+G$7/12),2)</f>
        <v/>
      </c>
      <c r="T51" s="23">
        <f>MIN(G$8,S51)+MAX(0,MIN(S51-MIN(G$8,S51),$C51-((H51-MIN(C$8,G51))+(K51-MIN(D$8,J51))+(N51-MIN(E$8,M51))+(Q51-MIN(F$8,P51)))))</f>
        <v/>
      </c>
      <c r="U51" s="23">
        <f>ROUND(S51-T51,2)</f>
        <v/>
      </c>
    </row>
    <row r="52">
      <c r="A52" t="n">
        <v>41</v>
      </c>
      <c r="B52" s="22">
        <f>EDATE(Debts!$B$5,40)</f>
        <v/>
      </c>
      <c r="C52" s="23">
        <f>MAX(0,Debts!$B$6-(MIN(C$8,G52)+MIN(D$8,J52)+MIN(E$8,M52)+MIN(F$8,P52)+MIN(G$8,S52)))</f>
        <v/>
      </c>
      <c r="D52" s="23">
        <f>H52+K52+N52+Q52+T52</f>
        <v/>
      </c>
      <c r="E52" s="23">
        <f>I52+L52+O52+R52+U52</f>
        <v/>
      </c>
      <c r="F52" s="23" t="n"/>
      <c r="G52" s="23">
        <f>ROUND(I51*(1+C$7/12),2)</f>
        <v/>
      </c>
      <c r="H52" s="23">
        <f>MIN(C$8,G52)+MAX(0,MIN(G52-MIN(C$8,G52),$C52-(0)))</f>
        <v/>
      </c>
      <c r="I52" s="23">
        <f>ROUND(G52-H52,2)</f>
        <v/>
      </c>
      <c r="J52" s="23">
        <f>ROUND(L51*(1+D$7/12),2)</f>
        <v/>
      </c>
      <c r="K52" s="23">
        <f>MIN(D$8,J52)+MAX(0,MIN(J52-MIN(D$8,J52),$C52-((H52-MIN(C$8,G52)))))</f>
        <v/>
      </c>
      <c r="L52" s="23">
        <f>ROUND(J52-K52,2)</f>
        <v/>
      </c>
      <c r="M52" s="23">
        <f>ROUND(O51*(1+E$7/12),2)</f>
        <v/>
      </c>
      <c r="N52" s="23">
        <f>MIN(E$8,M52)+MAX(0,MIN(M52-MIN(E$8,M52),$C52-((H52-MIN(C$8,G52))+(K52-MIN(D$8,J52)))))</f>
        <v/>
      </c>
      <c r="O52" s="23">
        <f>ROUND(M52-N52,2)</f>
        <v/>
      </c>
      <c r="P52" s="23">
        <f>ROUND(R51*(1+F$7/12),2)</f>
        <v/>
      </c>
      <c r="Q52" s="23">
        <f>MIN(F$8,P52)+MAX(0,MIN(P52-MIN(F$8,P52),$C52-((H52-MIN(C$8,G52))+(K52-MIN(D$8,J52))+(N52-MIN(E$8,M52)))))</f>
        <v/>
      </c>
      <c r="R52" s="23">
        <f>ROUND(P52-Q52,2)</f>
        <v/>
      </c>
      <c r="S52" s="23">
        <f>ROUND(U51*(1+G$7/12),2)</f>
        <v/>
      </c>
      <c r="T52" s="23">
        <f>MIN(G$8,S52)+MAX(0,MIN(S52-MIN(G$8,S52),$C52-((H52-MIN(C$8,G52))+(K52-MIN(D$8,J52))+(N52-MIN(E$8,M52))+(Q52-MIN(F$8,P52)))))</f>
        <v/>
      </c>
      <c r="U52" s="23">
        <f>ROUND(S52-T52,2)</f>
        <v/>
      </c>
    </row>
    <row r="53">
      <c r="A53" t="n">
        <v>42</v>
      </c>
      <c r="B53" s="22">
        <f>EDATE(Debts!$B$5,41)</f>
        <v/>
      </c>
      <c r="C53" s="23">
        <f>MAX(0,Debts!$B$6-(MIN(C$8,G53)+MIN(D$8,J53)+MIN(E$8,M53)+MIN(F$8,P53)+MIN(G$8,S53)))</f>
        <v/>
      </c>
      <c r="D53" s="23">
        <f>H53+K53+N53+Q53+T53</f>
        <v/>
      </c>
      <c r="E53" s="23">
        <f>I53+L53+O53+R53+U53</f>
        <v/>
      </c>
      <c r="F53" s="23" t="n"/>
      <c r="G53" s="23">
        <f>ROUND(I52*(1+C$7/12),2)</f>
        <v/>
      </c>
      <c r="H53" s="23">
        <f>MIN(C$8,G53)+MAX(0,MIN(G53-MIN(C$8,G53),$C53-(0)))</f>
        <v/>
      </c>
      <c r="I53" s="23">
        <f>ROUND(G53-H53,2)</f>
        <v/>
      </c>
      <c r="J53" s="23">
        <f>ROUND(L52*(1+D$7/12),2)</f>
        <v/>
      </c>
      <c r="K53" s="23">
        <f>MIN(D$8,J53)+MAX(0,MIN(J53-MIN(D$8,J53),$C53-((H53-MIN(C$8,G53)))))</f>
        <v/>
      </c>
      <c r="L53" s="23">
        <f>ROUND(J53-K53,2)</f>
        <v/>
      </c>
      <c r="M53" s="23">
        <f>ROUND(O52*(1+E$7/12),2)</f>
        <v/>
      </c>
      <c r="N53" s="23">
        <f>MIN(E$8,M53)+MAX(0,MIN(M53-MIN(E$8,M53),$C53-((H53-MIN(C$8,G53))+(K53-MIN(D$8,J53)))))</f>
        <v/>
      </c>
      <c r="O53" s="23">
        <f>ROUND(M53-N53,2)</f>
        <v/>
      </c>
      <c r="P53" s="23">
        <f>ROUND(R52*(1+F$7/12),2)</f>
        <v/>
      </c>
      <c r="Q53" s="23">
        <f>MIN(F$8,P53)+MAX(0,MIN(P53-MIN(F$8,P53),$C53-((H53-MIN(C$8,G53))+(K53-MIN(D$8,J53))+(N53-MIN(E$8,M53)))))</f>
        <v/>
      </c>
      <c r="R53" s="23">
        <f>ROUND(P53-Q53,2)</f>
        <v/>
      </c>
      <c r="S53" s="23">
        <f>ROUND(U52*(1+G$7/12),2)</f>
        <v/>
      </c>
      <c r="T53" s="23">
        <f>MIN(G$8,S53)+MAX(0,MIN(S53-MIN(G$8,S53),$C53-((H53-MIN(C$8,G53))+(K53-MIN(D$8,J53))+(N53-MIN(E$8,M53))+(Q53-MIN(F$8,P53)))))</f>
        <v/>
      </c>
      <c r="U53" s="23">
        <f>ROUND(S53-T53,2)</f>
        <v/>
      </c>
    </row>
    <row r="54">
      <c r="A54" t="n">
        <v>43</v>
      </c>
      <c r="B54" s="22">
        <f>EDATE(Debts!$B$5,42)</f>
        <v/>
      </c>
      <c r="C54" s="23">
        <f>MAX(0,Debts!$B$6-(MIN(C$8,G54)+MIN(D$8,J54)+MIN(E$8,M54)+MIN(F$8,P54)+MIN(G$8,S54)))</f>
        <v/>
      </c>
      <c r="D54" s="23">
        <f>H54+K54+N54+Q54+T54</f>
        <v/>
      </c>
      <c r="E54" s="23">
        <f>I54+L54+O54+R54+U54</f>
        <v/>
      </c>
      <c r="F54" s="23" t="n"/>
      <c r="G54" s="23">
        <f>ROUND(I53*(1+C$7/12),2)</f>
        <v/>
      </c>
      <c r="H54" s="23">
        <f>MIN(C$8,G54)+MAX(0,MIN(G54-MIN(C$8,G54),$C54-(0)))</f>
        <v/>
      </c>
      <c r="I54" s="23">
        <f>ROUND(G54-H54,2)</f>
        <v/>
      </c>
      <c r="J54" s="23">
        <f>ROUND(L53*(1+D$7/12),2)</f>
        <v/>
      </c>
      <c r="K54" s="23">
        <f>MIN(D$8,J54)+MAX(0,MIN(J54-MIN(D$8,J54),$C54-((H54-MIN(C$8,G54)))))</f>
        <v/>
      </c>
      <c r="L54" s="23">
        <f>ROUND(J54-K54,2)</f>
        <v/>
      </c>
      <c r="M54" s="23">
        <f>ROUND(O53*(1+E$7/12),2)</f>
        <v/>
      </c>
      <c r="N54" s="23">
        <f>MIN(E$8,M54)+MAX(0,MIN(M54-MIN(E$8,M54),$C54-((H54-MIN(C$8,G54))+(K54-MIN(D$8,J54)))))</f>
        <v/>
      </c>
      <c r="O54" s="23">
        <f>ROUND(M54-N54,2)</f>
        <v/>
      </c>
      <c r="P54" s="23">
        <f>ROUND(R53*(1+F$7/12),2)</f>
        <v/>
      </c>
      <c r="Q54" s="23">
        <f>MIN(F$8,P54)+MAX(0,MIN(P54-MIN(F$8,P54),$C54-((H54-MIN(C$8,G54))+(K54-MIN(D$8,J54))+(N54-MIN(E$8,M54)))))</f>
        <v/>
      </c>
      <c r="R54" s="23">
        <f>ROUND(P54-Q54,2)</f>
        <v/>
      </c>
      <c r="S54" s="23">
        <f>ROUND(U53*(1+G$7/12),2)</f>
        <v/>
      </c>
      <c r="T54" s="23">
        <f>MIN(G$8,S54)+MAX(0,MIN(S54-MIN(G$8,S54),$C54-((H54-MIN(C$8,G54))+(K54-MIN(D$8,J54))+(N54-MIN(E$8,M54))+(Q54-MIN(F$8,P54)))))</f>
        <v/>
      </c>
      <c r="U54" s="23">
        <f>ROUND(S54-T54,2)</f>
        <v/>
      </c>
    </row>
    <row r="55">
      <c r="A55" t="n">
        <v>44</v>
      </c>
      <c r="B55" s="22">
        <f>EDATE(Debts!$B$5,43)</f>
        <v/>
      </c>
      <c r="C55" s="23">
        <f>MAX(0,Debts!$B$6-(MIN(C$8,G55)+MIN(D$8,J55)+MIN(E$8,M55)+MIN(F$8,P55)+MIN(G$8,S55)))</f>
        <v/>
      </c>
      <c r="D55" s="23">
        <f>H55+K55+N55+Q55+T55</f>
        <v/>
      </c>
      <c r="E55" s="23">
        <f>I55+L55+O55+R55+U55</f>
        <v/>
      </c>
      <c r="F55" s="23" t="n"/>
      <c r="G55" s="23">
        <f>ROUND(I54*(1+C$7/12),2)</f>
        <v/>
      </c>
      <c r="H55" s="23">
        <f>MIN(C$8,G55)+MAX(0,MIN(G55-MIN(C$8,G55),$C55-(0)))</f>
        <v/>
      </c>
      <c r="I55" s="23">
        <f>ROUND(G55-H55,2)</f>
        <v/>
      </c>
      <c r="J55" s="23">
        <f>ROUND(L54*(1+D$7/12),2)</f>
        <v/>
      </c>
      <c r="K55" s="23">
        <f>MIN(D$8,J55)+MAX(0,MIN(J55-MIN(D$8,J55),$C55-((H55-MIN(C$8,G55)))))</f>
        <v/>
      </c>
      <c r="L55" s="23">
        <f>ROUND(J55-K55,2)</f>
        <v/>
      </c>
      <c r="M55" s="23">
        <f>ROUND(O54*(1+E$7/12),2)</f>
        <v/>
      </c>
      <c r="N55" s="23">
        <f>MIN(E$8,M55)+MAX(0,MIN(M55-MIN(E$8,M55),$C55-((H55-MIN(C$8,G55))+(K55-MIN(D$8,J55)))))</f>
        <v/>
      </c>
      <c r="O55" s="23">
        <f>ROUND(M55-N55,2)</f>
        <v/>
      </c>
      <c r="P55" s="23">
        <f>ROUND(R54*(1+F$7/12),2)</f>
        <v/>
      </c>
      <c r="Q55" s="23">
        <f>MIN(F$8,P55)+MAX(0,MIN(P55-MIN(F$8,P55),$C55-((H55-MIN(C$8,G55))+(K55-MIN(D$8,J55))+(N55-MIN(E$8,M55)))))</f>
        <v/>
      </c>
      <c r="R55" s="23">
        <f>ROUND(P55-Q55,2)</f>
        <v/>
      </c>
      <c r="S55" s="23">
        <f>ROUND(U54*(1+G$7/12),2)</f>
        <v/>
      </c>
      <c r="T55" s="23">
        <f>MIN(G$8,S55)+MAX(0,MIN(S55-MIN(G$8,S55),$C55-((H55-MIN(C$8,G55))+(K55-MIN(D$8,J55))+(N55-MIN(E$8,M55))+(Q55-MIN(F$8,P55)))))</f>
        <v/>
      </c>
      <c r="U55" s="23">
        <f>ROUND(S55-T55,2)</f>
        <v/>
      </c>
    </row>
    <row r="56">
      <c r="A56" t="n">
        <v>45</v>
      </c>
      <c r="B56" s="22">
        <f>EDATE(Debts!$B$5,44)</f>
        <v/>
      </c>
      <c r="C56" s="23">
        <f>MAX(0,Debts!$B$6-(MIN(C$8,G56)+MIN(D$8,J56)+MIN(E$8,M56)+MIN(F$8,P56)+MIN(G$8,S56)))</f>
        <v/>
      </c>
      <c r="D56" s="23">
        <f>H56+K56+N56+Q56+T56</f>
        <v/>
      </c>
      <c r="E56" s="23">
        <f>I56+L56+O56+R56+U56</f>
        <v/>
      </c>
      <c r="F56" s="23" t="n"/>
      <c r="G56" s="23">
        <f>ROUND(I55*(1+C$7/12),2)</f>
        <v/>
      </c>
      <c r="H56" s="23">
        <f>MIN(C$8,G56)+MAX(0,MIN(G56-MIN(C$8,G56),$C56-(0)))</f>
        <v/>
      </c>
      <c r="I56" s="23">
        <f>ROUND(G56-H56,2)</f>
        <v/>
      </c>
      <c r="J56" s="23">
        <f>ROUND(L55*(1+D$7/12),2)</f>
        <v/>
      </c>
      <c r="K56" s="23">
        <f>MIN(D$8,J56)+MAX(0,MIN(J56-MIN(D$8,J56),$C56-((H56-MIN(C$8,G56)))))</f>
        <v/>
      </c>
      <c r="L56" s="23">
        <f>ROUND(J56-K56,2)</f>
        <v/>
      </c>
      <c r="M56" s="23">
        <f>ROUND(O55*(1+E$7/12),2)</f>
        <v/>
      </c>
      <c r="N56" s="23">
        <f>MIN(E$8,M56)+MAX(0,MIN(M56-MIN(E$8,M56),$C56-((H56-MIN(C$8,G56))+(K56-MIN(D$8,J56)))))</f>
        <v/>
      </c>
      <c r="O56" s="23">
        <f>ROUND(M56-N56,2)</f>
        <v/>
      </c>
      <c r="P56" s="23">
        <f>ROUND(R55*(1+F$7/12),2)</f>
        <v/>
      </c>
      <c r="Q56" s="23">
        <f>MIN(F$8,P56)+MAX(0,MIN(P56-MIN(F$8,P56),$C56-((H56-MIN(C$8,G56))+(K56-MIN(D$8,J56))+(N56-MIN(E$8,M56)))))</f>
        <v/>
      </c>
      <c r="R56" s="23">
        <f>ROUND(P56-Q56,2)</f>
        <v/>
      </c>
      <c r="S56" s="23">
        <f>ROUND(U55*(1+G$7/12),2)</f>
        <v/>
      </c>
      <c r="T56" s="23">
        <f>MIN(G$8,S56)+MAX(0,MIN(S56-MIN(G$8,S56),$C56-((H56-MIN(C$8,G56))+(K56-MIN(D$8,J56))+(N56-MIN(E$8,M56))+(Q56-MIN(F$8,P56)))))</f>
        <v/>
      </c>
      <c r="U56" s="23">
        <f>ROUND(S56-T56,2)</f>
        <v/>
      </c>
    </row>
    <row r="57">
      <c r="A57" t="n">
        <v>46</v>
      </c>
      <c r="B57" s="22">
        <f>EDATE(Debts!$B$5,45)</f>
        <v/>
      </c>
      <c r="C57" s="23">
        <f>MAX(0,Debts!$B$6-(MIN(C$8,G57)+MIN(D$8,J57)+MIN(E$8,M57)+MIN(F$8,P57)+MIN(G$8,S57)))</f>
        <v/>
      </c>
      <c r="D57" s="23">
        <f>H57+K57+N57+Q57+T57</f>
        <v/>
      </c>
      <c r="E57" s="23">
        <f>I57+L57+O57+R57+U57</f>
        <v/>
      </c>
      <c r="F57" s="23" t="n"/>
      <c r="G57" s="23">
        <f>ROUND(I56*(1+C$7/12),2)</f>
        <v/>
      </c>
      <c r="H57" s="23">
        <f>MIN(C$8,G57)+MAX(0,MIN(G57-MIN(C$8,G57),$C57-(0)))</f>
        <v/>
      </c>
      <c r="I57" s="23">
        <f>ROUND(G57-H57,2)</f>
        <v/>
      </c>
      <c r="J57" s="23">
        <f>ROUND(L56*(1+D$7/12),2)</f>
        <v/>
      </c>
      <c r="K57" s="23">
        <f>MIN(D$8,J57)+MAX(0,MIN(J57-MIN(D$8,J57),$C57-((H57-MIN(C$8,G57)))))</f>
        <v/>
      </c>
      <c r="L57" s="23">
        <f>ROUND(J57-K57,2)</f>
        <v/>
      </c>
      <c r="M57" s="23">
        <f>ROUND(O56*(1+E$7/12),2)</f>
        <v/>
      </c>
      <c r="N57" s="23">
        <f>MIN(E$8,M57)+MAX(0,MIN(M57-MIN(E$8,M57),$C57-((H57-MIN(C$8,G57))+(K57-MIN(D$8,J57)))))</f>
        <v/>
      </c>
      <c r="O57" s="23">
        <f>ROUND(M57-N57,2)</f>
        <v/>
      </c>
      <c r="P57" s="23">
        <f>ROUND(R56*(1+F$7/12),2)</f>
        <v/>
      </c>
      <c r="Q57" s="23">
        <f>MIN(F$8,P57)+MAX(0,MIN(P57-MIN(F$8,P57),$C57-((H57-MIN(C$8,G57))+(K57-MIN(D$8,J57))+(N57-MIN(E$8,M57)))))</f>
        <v/>
      </c>
      <c r="R57" s="23">
        <f>ROUND(P57-Q57,2)</f>
        <v/>
      </c>
      <c r="S57" s="23">
        <f>ROUND(U56*(1+G$7/12),2)</f>
        <v/>
      </c>
      <c r="T57" s="23">
        <f>MIN(G$8,S57)+MAX(0,MIN(S57-MIN(G$8,S57),$C57-((H57-MIN(C$8,G57))+(K57-MIN(D$8,J57))+(N57-MIN(E$8,M57))+(Q57-MIN(F$8,P57)))))</f>
        <v/>
      </c>
      <c r="U57" s="23">
        <f>ROUND(S57-T57,2)</f>
        <v/>
      </c>
    </row>
    <row r="58">
      <c r="A58" t="n">
        <v>47</v>
      </c>
      <c r="B58" s="22">
        <f>EDATE(Debts!$B$5,46)</f>
        <v/>
      </c>
      <c r="C58" s="23">
        <f>MAX(0,Debts!$B$6-(MIN(C$8,G58)+MIN(D$8,J58)+MIN(E$8,M58)+MIN(F$8,P58)+MIN(G$8,S58)))</f>
        <v/>
      </c>
      <c r="D58" s="23">
        <f>H58+K58+N58+Q58+T58</f>
        <v/>
      </c>
      <c r="E58" s="23">
        <f>I58+L58+O58+R58+U58</f>
        <v/>
      </c>
      <c r="F58" s="23" t="n"/>
      <c r="G58" s="23">
        <f>ROUND(I57*(1+C$7/12),2)</f>
        <v/>
      </c>
      <c r="H58" s="23">
        <f>MIN(C$8,G58)+MAX(0,MIN(G58-MIN(C$8,G58),$C58-(0)))</f>
        <v/>
      </c>
      <c r="I58" s="23">
        <f>ROUND(G58-H58,2)</f>
        <v/>
      </c>
      <c r="J58" s="23">
        <f>ROUND(L57*(1+D$7/12),2)</f>
        <v/>
      </c>
      <c r="K58" s="23">
        <f>MIN(D$8,J58)+MAX(0,MIN(J58-MIN(D$8,J58),$C58-((H58-MIN(C$8,G58)))))</f>
        <v/>
      </c>
      <c r="L58" s="23">
        <f>ROUND(J58-K58,2)</f>
        <v/>
      </c>
      <c r="M58" s="23">
        <f>ROUND(O57*(1+E$7/12),2)</f>
        <v/>
      </c>
      <c r="N58" s="23">
        <f>MIN(E$8,M58)+MAX(0,MIN(M58-MIN(E$8,M58),$C58-((H58-MIN(C$8,G58))+(K58-MIN(D$8,J58)))))</f>
        <v/>
      </c>
      <c r="O58" s="23">
        <f>ROUND(M58-N58,2)</f>
        <v/>
      </c>
      <c r="P58" s="23">
        <f>ROUND(R57*(1+F$7/12),2)</f>
        <v/>
      </c>
      <c r="Q58" s="23">
        <f>MIN(F$8,P58)+MAX(0,MIN(P58-MIN(F$8,P58),$C58-((H58-MIN(C$8,G58))+(K58-MIN(D$8,J58))+(N58-MIN(E$8,M58)))))</f>
        <v/>
      </c>
      <c r="R58" s="23">
        <f>ROUND(P58-Q58,2)</f>
        <v/>
      </c>
      <c r="S58" s="23">
        <f>ROUND(U57*(1+G$7/12),2)</f>
        <v/>
      </c>
      <c r="T58" s="23">
        <f>MIN(G$8,S58)+MAX(0,MIN(S58-MIN(G$8,S58),$C58-((H58-MIN(C$8,G58))+(K58-MIN(D$8,J58))+(N58-MIN(E$8,M58))+(Q58-MIN(F$8,P58)))))</f>
        <v/>
      </c>
      <c r="U58" s="23">
        <f>ROUND(S58-T58,2)</f>
        <v/>
      </c>
    </row>
    <row r="59">
      <c r="A59" t="n">
        <v>48</v>
      </c>
      <c r="B59" s="22">
        <f>EDATE(Debts!$B$5,47)</f>
        <v/>
      </c>
      <c r="C59" s="23">
        <f>MAX(0,Debts!$B$6-(MIN(C$8,G59)+MIN(D$8,J59)+MIN(E$8,M59)+MIN(F$8,P59)+MIN(G$8,S59)))</f>
        <v/>
      </c>
      <c r="D59" s="23">
        <f>H59+K59+N59+Q59+T59</f>
        <v/>
      </c>
      <c r="E59" s="23">
        <f>I59+L59+O59+R59+U59</f>
        <v/>
      </c>
      <c r="F59" s="23" t="n"/>
      <c r="G59" s="23">
        <f>ROUND(I58*(1+C$7/12),2)</f>
        <v/>
      </c>
      <c r="H59" s="23">
        <f>MIN(C$8,G59)+MAX(0,MIN(G59-MIN(C$8,G59),$C59-(0)))</f>
        <v/>
      </c>
      <c r="I59" s="23">
        <f>ROUND(G59-H59,2)</f>
        <v/>
      </c>
      <c r="J59" s="23">
        <f>ROUND(L58*(1+D$7/12),2)</f>
        <v/>
      </c>
      <c r="K59" s="23">
        <f>MIN(D$8,J59)+MAX(0,MIN(J59-MIN(D$8,J59),$C59-((H59-MIN(C$8,G59)))))</f>
        <v/>
      </c>
      <c r="L59" s="23">
        <f>ROUND(J59-K59,2)</f>
        <v/>
      </c>
      <c r="M59" s="23">
        <f>ROUND(O58*(1+E$7/12),2)</f>
        <v/>
      </c>
      <c r="N59" s="23">
        <f>MIN(E$8,M59)+MAX(0,MIN(M59-MIN(E$8,M59),$C59-((H59-MIN(C$8,G59))+(K59-MIN(D$8,J59)))))</f>
        <v/>
      </c>
      <c r="O59" s="23">
        <f>ROUND(M59-N59,2)</f>
        <v/>
      </c>
      <c r="P59" s="23">
        <f>ROUND(R58*(1+F$7/12),2)</f>
        <v/>
      </c>
      <c r="Q59" s="23">
        <f>MIN(F$8,P59)+MAX(0,MIN(P59-MIN(F$8,P59),$C59-((H59-MIN(C$8,G59))+(K59-MIN(D$8,J59))+(N59-MIN(E$8,M59)))))</f>
        <v/>
      </c>
      <c r="R59" s="23">
        <f>ROUND(P59-Q59,2)</f>
        <v/>
      </c>
      <c r="S59" s="23">
        <f>ROUND(U58*(1+G$7/12),2)</f>
        <v/>
      </c>
      <c r="T59" s="23">
        <f>MIN(G$8,S59)+MAX(0,MIN(S59-MIN(G$8,S59),$C59-((H59-MIN(C$8,G59))+(K59-MIN(D$8,J59))+(N59-MIN(E$8,M59))+(Q59-MIN(F$8,P59)))))</f>
        <v/>
      </c>
      <c r="U59" s="23">
        <f>ROUND(S59-T59,2)</f>
        <v/>
      </c>
    </row>
    <row r="60">
      <c r="A60" t="n">
        <v>49</v>
      </c>
      <c r="B60" s="22">
        <f>EDATE(Debts!$B$5,48)</f>
        <v/>
      </c>
      <c r="C60" s="23">
        <f>MAX(0,Debts!$B$6-(MIN(C$8,G60)+MIN(D$8,J60)+MIN(E$8,M60)+MIN(F$8,P60)+MIN(G$8,S60)))</f>
        <v/>
      </c>
      <c r="D60" s="23">
        <f>H60+K60+N60+Q60+T60</f>
        <v/>
      </c>
      <c r="E60" s="23">
        <f>I60+L60+O60+R60+U60</f>
        <v/>
      </c>
      <c r="F60" s="23" t="n"/>
      <c r="G60" s="23">
        <f>ROUND(I59*(1+C$7/12),2)</f>
        <v/>
      </c>
      <c r="H60" s="23">
        <f>MIN(C$8,G60)+MAX(0,MIN(G60-MIN(C$8,G60),$C60-(0)))</f>
        <v/>
      </c>
      <c r="I60" s="23">
        <f>ROUND(G60-H60,2)</f>
        <v/>
      </c>
      <c r="J60" s="23">
        <f>ROUND(L59*(1+D$7/12),2)</f>
        <v/>
      </c>
      <c r="K60" s="23">
        <f>MIN(D$8,J60)+MAX(0,MIN(J60-MIN(D$8,J60),$C60-((H60-MIN(C$8,G60)))))</f>
        <v/>
      </c>
      <c r="L60" s="23">
        <f>ROUND(J60-K60,2)</f>
        <v/>
      </c>
      <c r="M60" s="23">
        <f>ROUND(O59*(1+E$7/12),2)</f>
        <v/>
      </c>
      <c r="N60" s="23">
        <f>MIN(E$8,M60)+MAX(0,MIN(M60-MIN(E$8,M60),$C60-((H60-MIN(C$8,G60))+(K60-MIN(D$8,J60)))))</f>
        <v/>
      </c>
      <c r="O60" s="23">
        <f>ROUND(M60-N60,2)</f>
        <v/>
      </c>
      <c r="P60" s="23">
        <f>ROUND(R59*(1+F$7/12),2)</f>
        <v/>
      </c>
      <c r="Q60" s="23">
        <f>MIN(F$8,P60)+MAX(0,MIN(P60-MIN(F$8,P60),$C60-((H60-MIN(C$8,G60))+(K60-MIN(D$8,J60))+(N60-MIN(E$8,M60)))))</f>
        <v/>
      </c>
      <c r="R60" s="23">
        <f>ROUND(P60-Q60,2)</f>
        <v/>
      </c>
      <c r="S60" s="23">
        <f>ROUND(U59*(1+G$7/12),2)</f>
        <v/>
      </c>
      <c r="T60" s="23">
        <f>MIN(G$8,S60)+MAX(0,MIN(S60-MIN(G$8,S60),$C60-((H60-MIN(C$8,G60))+(K60-MIN(D$8,J60))+(N60-MIN(E$8,M60))+(Q60-MIN(F$8,P60)))))</f>
        <v/>
      </c>
      <c r="U60" s="23">
        <f>ROUND(S60-T60,2)</f>
        <v/>
      </c>
    </row>
    <row r="61">
      <c r="A61" t="n">
        <v>50</v>
      </c>
      <c r="B61" s="22">
        <f>EDATE(Debts!$B$5,49)</f>
        <v/>
      </c>
      <c r="C61" s="23">
        <f>MAX(0,Debts!$B$6-(MIN(C$8,G61)+MIN(D$8,J61)+MIN(E$8,M61)+MIN(F$8,P61)+MIN(G$8,S61)))</f>
        <v/>
      </c>
      <c r="D61" s="23">
        <f>H61+K61+N61+Q61+T61</f>
        <v/>
      </c>
      <c r="E61" s="23">
        <f>I61+L61+O61+R61+U61</f>
        <v/>
      </c>
      <c r="F61" s="23" t="n"/>
      <c r="G61" s="23">
        <f>ROUND(I60*(1+C$7/12),2)</f>
        <v/>
      </c>
      <c r="H61" s="23">
        <f>MIN(C$8,G61)+MAX(0,MIN(G61-MIN(C$8,G61),$C61-(0)))</f>
        <v/>
      </c>
      <c r="I61" s="23">
        <f>ROUND(G61-H61,2)</f>
        <v/>
      </c>
      <c r="J61" s="23">
        <f>ROUND(L60*(1+D$7/12),2)</f>
        <v/>
      </c>
      <c r="K61" s="23">
        <f>MIN(D$8,J61)+MAX(0,MIN(J61-MIN(D$8,J61),$C61-((H61-MIN(C$8,G61)))))</f>
        <v/>
      </c>
      <c r="L61" s="23">
        <f>ROUND(J61-K61,2)</f>
        <v/>
      </c>
      <c r="M61" s="23">
        <f>ROUND(O60*(1+E$7/12),2)</f>
        <v/>
      </c>
      <c r="N61" s="23">
        <f>MIN(E$8,M61)+MAX(0,MIN(M61-MIN(E$8,M61),$C61-((H61-MIN(C$8,G61))+(K61-MIN(D$8,J61)))))</f>
        <v/>
      </c>
      <c r="O61" s="23">
        <f>ROUND(M61-N61,2)</f>
        <v/>
      </c>
      <c r="P61" s="23">
        <f>ROUND(R60*(1+F$7/12),2)</f>
        <v/>
      </c>
      <c r="Q61" s="23">
        <f>MIN(F$8,P61)+MAX(0,MIN(P61-MIN(F$8,P61),$C61-((H61-MIN(C$8,G61))+(K61-MIN(D$8,J61))+(N61-MIN(E$8,M61)))))</f>
        <v/>
      </c>
      <c r="R61" s="23">
        <f>ROUND(P61-Q61,2)</f>
        <v/>
      </c>
      <c r="S61" s="23">
        <f>ROUND(U60*(1+G$7/12),2)</f>
        <v/>
      </c>
      <c r="T61" s="23">
        <f>MIN(G$8,S61)+MAX(0,MIN(S61-MIN(G$8,S61),$C61-((H61-MIN(C$8,G61))+(K61-MIN(D$8,J61))+(N61-MIN(E$8,M61))+(Q61-MIN(F$8,P61)))))</f>
        <v/>
      </c>
      <c r="U61" s="23">
        <f>ROUND(S61-T61,2)</f>
        <v/>
      </c>
    </row>
    <row r="62">
      <c r="A62" t="n">
        <v>51</v>
      </c>
      <c r="B62" s="22">
        <f>EDATE(Debts!$B$5,50)</f>
        <v/>
      </c>
      <c r="C62" s="23">
        <f>MAX(0,Debts!$B$6-(MIN(C$8,G62)+MIN(D$8,J62)+MIN(E$8,M62)+MIN(F$8,P62)+MIN(G$8,S62)))</f>
        <v/>
      </c>
      <c r="D62" s="23">
        <f>H62+K62+N62+Q62+T62</f>
        <v/>
      </c>
      <c r="E62" s="23">
        <f>I62+L62+O62+R62+U62</f>
        <v/>
      </c>
      <c r="F62" s="23" t="n"/>
      <c r="G62" s="23">
        <f>ROUND(I61*(1+C$7/12),2)</f>
        <v/>
      </c>
      <c r="H62" s="23">
        <f>MIN(C$8,G62)+MAX(0,MIN(G62-MIN(C$8,G62),$C62-(0)))</f>
        <v/>
      </c>
      <c r="I62" s="23">
        <f>ROUND(G62-H62,2)</f>
        <v/>
      </c>
      <c r="J62" s="23">
        <f>ROUND(L61*(1+D$7/12),2)</f>
        <v/>
      </c>
      <c r="K62" s="23">
        <f>MIN(D$8,J62)+MAX(0,MIN(J62-MIN(D$8,J62),$C62-((H62-MIN(C$8,G62)))))</f>
        <v/>
      </c>
      <c r="L62" s="23">
        <f>ROUND(J62-K62,2)</f>
        <v/>
      </c>
      <c r="M62" s="23">
        <f>ROUND(O61*(1+E$7/12),2)</f>
        <v/>
      </c>
      <c r="N62" s="23">
        <f>MIN(E$8,M62)+MAX(0,MIN(M62-MIN(E$8,M62),$C62-((H62-MIN(C$8,G62))+(K62-MIN(D$8,J62)))))</f>
        <v/>
      </c>
      <c r="O62" s="23">
        <f>ROUND(M62-N62,2)</f>
        <v/>
      </c>
      <c r="P62" s="23">
        <f>ROUND(R61*(1+F$7/12),2)</f>
        <v/>
      </c>
      <c r="Q62" s="23">
        <f>MIN(F$8,P62)+MAX(0,MIN(P62-MIN(F$8,P62),$C62-((H62-MIN(C$8,G62))+(K62-MIN(D$8,J62))+(N62-MIN(E$8,M62)))))</f>
        <v/>
      </c>
      <c r="R62" s="23">
        <f>ROUND(P62-Q62,2)</f>
        <v/>
      </c>
      <c r="S62" s="23">
        <f>ROUND(U61*(1+G$7/12),2)</f>
        <v/>
      </c>
      <c r="T62" s="23">
        <f>MIN(G$8,S62)+MAX(0,MIN(S62-MIN(G$8,S62),$C62-((H62-MIN(C$8,G62))+(K62-MIN(D$8,J62))+(N62-MIN(E$8,M62))+(Q62-MIN(F$8,P62)))))</f>
        <v/>
      </c>
      <c r="U62" s="23">
        <f>ROUND(S62-T62,2)</f>
        <v/>
      </c>
    </row>
    <row r="63">
      <c r="A63" t="n">
        <v>52</v>
      </c>
      <c r="B63" s="22">
        <f>EDATE(Debts!$B$5,51)</f>
        <v/>
      </c>
      <c r="C63" s="23">
        <f>MAX(0,Debts!$B$6-(MIN(C$8,G63)+MIN(D$8,J63)+MIN(E$8,M63)+MIN(F$8,P63)+MIN(G$8,S63)))</f>
        <v/>
      </c>
      <c r="D63" s="23">
        <f>H63+K63+N63+Q63+T63</f>
        <v/>
      </c>
      <c r="E63" s="23">
        <f>I63+L63+O63+R63+U63</f>
        <v/>
      </c>
      <c r="F63" s="23" t="n"/>
      <c r="G63" s="23">
        <f>ROUND(I62*(1+C$7/12),2)</f>
        <v/>
      </c>
      <c r="H63" s="23">
        <f>MIN(C$8,G63)+MAX(0,MIN(G63-MIN(C$8,G63),$C63-(0)))</f>
        <v/>
      </c>
      <c r="I63" s="23">
        <f>ROUND(G63-H63,2)</f>
        <v/>
      </c>
      <c r="J63" s="23">
        <f>ROUND(L62*(1+D$7/12),2)</f>
        <v/>
      </c>
      <c r="K63" s="23">
        <f>MIN(D$8,J63)+MAX(0,MIN(J63-MIN(D$8,J63),$C63-((H63-MIN(C$8,G63)))))</f>
        <v/>
      </c>
      <c r="L63" s="23">
        <f>ROUND(J63-K63,2)</f>
        <v/>
      </c>
      <c r="M63" s="23">
        <f>ROUND(O62*(1+E$7/12),2)</f>
        <v/>
      </c>
      <c r="N63" s="23">
        <f>MIN(E$8,M63)+MAX(0,MIN(M63-MIN(E$8,M63),$C63-((H63-MIN(C$8,G63))+(K63-MIN(D$8,J63)))))</f>
        <v/>
      </c>
      <c r="O63" s="23">
        <f>ROUND(M63-N63,2)</f>
        <v/>
      </c>
      <c r="P63" s="23">
        <f>ROUND(R62*(1+F$7/12),2)</f>
        <v/>
      </c>
      <c r="Q63" s="23">
        <f>MIN(F$8,P63)+MAX(0,MIN(P63-MIN(F$8,P63),$C63-((H63-MIN(C$8,G63))+(K63-MIN(D$8,J63))+(N63-MIN(E$8,M63)))))</f>
        <v/>
      </c>
      <c r="R63" s="23">
        <f>ROUND(P63-Q63,2)</f>
        <v/>
      </c>
      <c r="S63" s="23">
        <f>ROUND(U62*(1+G$7/12),2)</f>
        <v/>
      </c>
      <c r="T63" s="23">
        <f>MIN(G$8,S63)+MAX(0,MIN(S63-MIN(G$8,S63),$C63-((H63-MIN(C$8,G63))+(K63-MIN(D$8,J63))+(N63-MIN(E$8,M63))+(Q63-MIN(F$8,P63)))))</f>
        <v/>
      </c>
      <c r="U63" s="23">
        <f>ROUND(S63-T63,2)</f>
        <v/>
      </c>
    </row>
    <row r="64">
      <c r="A64" t="n">
        <v>53</v>
      </c>
      <c r="B64" s="22">
        <f>EDATE(Debts!$B$5,52)</f>
        <v/>
      </c>
      <c r="C64" s="23">
        <f>MAX(0,Debts!$B$6-(MIN(C$8,G64)+MIN(D$8,J64)+MIN(E$8,M64)+MIN(F$8,P64)+MIN(G$8,S64)))</f>
        <v/>
      </c>
      <c r="D64" s="23">
        <f>H64+K64+N64+Q64+T64</f>
        <v/>
      </c>
      <c r="E64" s="23">
        <f>I64+L64+O64+R64+U64</f>
        <v/>
      </c>
      <c r="F64" s="23" t="n"/>
      <c r="G64" s="23">
        <f>ROUND(I63*(1+C$7/12),2)</f>
        <v/>
      </c>
      <c r="H64" s="23">
        <f>MIN(C$8,G64)+MAX(0,MIN(G64-MIN(C$8,G64),$C64-(0)))</f>
        <v/>
      </c>
      <c r="I64" s="23">
        <f>ROUND(G64-H64,2)</f>
        <v/>
      </c>
      <c r="J64" s="23">
        <f>ROUND(L63*(1+D$7/12),2)</f>
        <v/>
      </c>
      <c r="K64" s="23">
        <f>MIN(D$8,J64)+MAX(0,MIN(J64-MIN(D$8,J64),$C64-((H64-MIN(C$8,G64)))))</f>
        <v/>
      </c>
      <c r="L64" s="23">
        <f>ROUND(J64-K64,2)</f>
        <v/>
      </c>
      <c r="M64" s="23">
        <f>ROUND(O63*(1+E$7/12),2)</f>
        <v/>
      </c>
      <c r="N64" s="23">
        <f>MIN(E$8,M64)+MAX(0,MIN(M64-MIN(E$8,M64),$C64-((H64-MIN(C$8,G64))+(K64-MIN(D$8,J64)))))</f>
        <v/>
      </c>
      <c r="O64" s="23">
        <f>ROUND(M64-N64,2)</f>
        <v/>
      </c>
      <c r="P64" s="23">
        <f>ROUND(R63*(1+F$7/12),2)</f>
        <v/>
      </c>
      <c r="Q64" s="23">
        <f>MIN(F$8,P64)+MAX(0,MIN(P64-MIN(F$8,P64),$C64-((H64-MIN(C$8,G64))+(K64-MIN(D$8,J64))+(N64-MIN(E$8,M64)))))</f>
        <v/>
      </c>
      <c r="R64" s="23">
        <f>ROUND(P64-Q64,2)</f>
        <v/>
      </c>
      <c r="S64" s="23">
        <f>ROUND(U63*(1+G$7/12),2)</f>
        <v/>
      </c>
      <c r="T64" s="23">
        <f>MIN(G$8,S64)+MAX(0,MIN(S64-MIN(G$8,S64),$C64-((H64-MIN(C$8,G64))+(K64-MIN(D$8,J64))+(N64-MIN(E$8,M64))+(Q64-MIN(F$8,P64)))))</f>
        <v/>
      </c>
      <c r="U64" s="23">
        <f>ROUND(S64-T64,2)</f>
        <v/>
      </c>
    </row>
    <row r="65">
      <c r="A65" t="n">
        <v>54</v>
      </c>
      <c r="B65" s="22">
        <f>EDATE(Debts!$B$5,53)</f>
        <v/>
      </c>
      <c r="C65" s="23">
        <f>MAX(0,Debts!$B$6-(MIN(C$8,G65)+MIN(D$8,J65)+MIN(E$8,M65)+MIN(F$8,P65)+MIN(G$8,S65)))</f>
        <v/>
      </c>
      <c r="D65" s="23">
        <f>H65+K65+N65+Q65+T65</f>
        <v/>
      </c>
      <c r="E65" s="23">
        <f>I65+L65+O65+R65+U65</f>
        <v/>
      </c>
      <c r="F65" s="23" t="n"/>
      <c r="G65" s="23">
        <f>ROUND(I64*(1+C$7/12),2)</f>
        <v/>
      </c>
      <c r="H65" s="23">
        <f>MIN(C$8,G65)+MAX(0,MIN(G65-MIN(C$8,G65),$C65-(0)))</f>
        <v/>
      </c>
      <c r="I65" s="23">
        <f>ROUND(G65-H65,2)</f>
        <v/>
      </c>
      <c r="J65" s="23">
        <f>ROUND(L64*(1+D$7/12),2)</f>
        <v/>
      </c>
      <c r="K65" s="23">
        <f>MIN(D$8,J65)+MAX(0,MIN(J65-MIN(D$8,J65),$C65-((H65-MIN(C$8,G65)))))</f>
        <v/>
      </c>
      <c r="L65" s="23">
        <f>ROUND(J65-K65,2)</f>
        <v/>
      </c>
      <c r="M65" s="23">
        <f>ROUND(O64*(1+E$7/12),2)</f>
        <v/>
      </c>
      <c r="N65" s="23">
        <f>MIN(E$8,M65)+MAX(0,MIN(M65-MIN(E$8,M65),$C65-((H65-MIN(C$8,G65))+(K65-MIN(D$8,J65)))))</f>
        <v/>
      </c>
      <c r="O65" s="23">
        <f>ROUND(M65-N65,2)</f>
        <v/>
      </c>
      <c r="P65" s="23">
        <f>ROUND(R64*(1+F$7/12),2)</f>
        <v/>
      </c>
      <c r="Q65" s="23">
        <f>MIN(F$8,P65)+MAX(0,MIN(P65-MIN(F$8,P65),$C65-((H65-MIN(C$8,G65))+(K65-MIN(D$8,J65))+(N65-MIN(E$8,M65)))))</f>
        <v/>
      </c>
      <c r="R65" s="23">
        <f>ROUND(P65-Q65,2)</f>
        <v/>
      </c>
      <c r="S65" s="23">
        <f>ROUND(U64*(1+G$7/12),2)</f>
        <v/>
      </c>
      <c r="T65" s="23">
        <f>MIN(G$8,S65)+MAX(0,MIN(S65-MIN(G$8,S65),$C65-((H65-MIN(C$8,G65))+(K65-MIN(D$8,J65))+(N65-MIN(E$8,M65))+(Q65-MIN(F$8,P65)))))</f>
        <v/>
      </c>
      <c r="U65" s="23">
        <f>ROUND(S65-T65,2)</f>
        <v/>
      </c>
    </row>
    <row r="66">
      <c r="A66" t="n">
        <v>55</v>
      </c>
      <c r="B66" s="22">
        <f>EDATE(Debts!$B$5,54)</f>
        <v/>
      </c>
      <c r="C66" s="23">
        <f>MAX(0,Debts!$B$6-(MIN(C$8,G66)+MIN(D$8,J66)+MIN(E$8,M66)+MIN(F$8,P66)+MIN(G$8,S66)))</f>
        <v/>
      </c>
      <c r="D66" s="23">
        <f>H66+K66+N66+Q66+T66</f>
        <v/>
      </c>
      <c r="E66" s="23">
        <f>I66+L66+O66+R66+U66</f>
        <v/>
      </c>
      <c r="F66" s="23" t="n"/>
      <c r="G66" s="23">
        <f>ROUND(I65*(1+C$7/12),2)</f>
        <v/>
      </c>
      <c r="H66" s="23">
        <f>MIN(C$8,G66)+MAX(0,MIN(G66-MIN(C$8,G66),$C66-(0)))</f>
        <v/>
      </c>
      <c r="I66" s="23">
        <f>ROUND(G66-H66,2)</f>
        <v/>
      </c>
      <c r="J66" s="23">
        <f>ROUND(L65*(1+D$7/12),2)</f>
        <v/>
      </c>
      <c r="K66" s="23">
        <f>MIN(D$8,J66)+MAX(0,MIN(J66-MIN(D$8,J66),$C66-((H66-MIN(C$8,G66)))))</f>
        <v/>
      </c>
      <c r="L66" s="23">
        <f>ROUND(J66-K66,2)</f>
        <v/>
      </c>
      <c r="M66" s="23">
        <f>ROUND(O65*(1+E$7/12),2)</f>
        <v/>
      </c>
      <c r="N66" s="23">
        <f>MIN(E$8,M66)+MAX(0,MIN(M66-MIN(E$8,M66),$C66-((H66-MIN(C$8,G66))+(K66-MIN(D$8,J66)))))</f>
        <v/>
      </c>
      <c r="O66" s="23">
        <f>ROUND(M66-N66,2)</f>
        <v/>
      </c>
      <c r="P66" s="23">
        <f>ROUND(R65*(1+F$7/12),2)</f>
        <v/>
      </c>
      <c r="Q66" s="23">
        <f>MIN(F$8,P66)+MAX(0,MIN(P66-MIN(F$8,P66),$C66-((H66-MIN(C$8,G66))+(K66-MIN(D$8,J66))+(N66-MIN(E$8,M66)))))</f>
        <v/>
      </c>
      <c r="R66" s="23">
        <f>ROUND(P66-Q66,2)</f>
        <v/>
      </c>
      <c r="S66" s="23">
        <f>ROUND(U65*(1+G$7/12),2)</f>
        <v/>
      </c>
      <c r="T66" s="23">
        <f>MIN(G$8,S66)+MAX(0,MIN(S66-MIN(G$8,S66),$C66-((H66-MIN(C$8,G66))+(K66-MIN(D$8,J66))+(N66-MIN(E$8,M66))+(Q66-MIN(F$8,P66)))))</f>
        <v/>
      </c>
      <c r="U66" s="23">
        <f>ROUND(S66-T66,2)</f>
        <v/>
      </c>
    </row>
    <row r="67">
      <c r="A67" t="n">
        <v>56</v>
      </c>
      <c r="B67" s="22">
        <f>EDATE(Debts!$B$5,55)</f>
        <v/>
      </c>
      <c r="C67" s="23">
        <f>MAX(0,Debts!$B$6-(MIN(C$8,G67)+MIN(D$8,J67)+MIN(E$8,M67)+MIN(F$8,P67)+MIN(G$8,S67)))</f>
        <v/>
      </c>
      <c r="D67" s="23">
        <f>H67+K67+N67+Q67+T67</f>
        <v/>
      </c>
      <c r="E67" s="23">
        <f>I67+L67+O67+R67+U67</f>
        <v/>
      </c>
      <c r="F67" s="23" t="n"/>
      <c r="G67" s="23">
        <f>ROUND(I66*(1+C$7/12),2)</f>
        <v/>
      </c>
      <c r="H67" s="23">
        <f>MIN(C$8,G67)+MAX(0,MIN(G67-MIN(C$8,G67),$C67-(0)))</f>
        <v/>
      </c>
      <c r="I67" s="23">
        <f>ROUND(G67-H67,2)</f>
        <v/>
      </c>
      <c r="J67" s="23">
        <f>ROUND(L66*(1+D$7/12),2)</f>
        <v/>
      </c>
      <c r="K67" s="23">
        <f>MIN(D$8,J67)+MAX(0,MIN(J67-MIN(D$8,J67),$C67-((H67-MIN(C$8,G67)))))</f>
        <v/>
      </c>
      <c r="L67" s="23">
        <f>ROUND(J67-K67,2)</f>
        <v/>
      </c>
      <c r="M67" s="23">
        <f>ROUND(O66*(1+E$7/12),2)</f>
        <v/>
      </c>
      <c r="N67" s="23">
        <f>MIN(E$8,M67)+MAX(0,MIN(M67-MIN(E$8,M67),$C67-((H67-MIN(C$8,G67))+(K67-MIN(D$8,J67)))))</f>
        <v/>
      </c>
      <c r="O67" s="23">
        <f>ROUND(M67-N67,2)</f>
        <v/>
      </c>
      <c r="P67" s="23">
        <f>ROUND(R66*(1+F$7/12),2)</f>
        <v/>
      </c>
      <c r="Q67" s="23">
        <f>MIN(F$8,P67)+MAX(0,MIN(P67-MIN(F$8,P67),$C67-((H67-MIN(C$8,G67))+(K67-MIN(D$8,J67))+(N67-MIN(E$8,M67)))))</f>
        <v/>
      </c>
      <c r="R67" s="23">
        <f>ROUND(P67-Q67,2)</f>
        <v/>
      </c>
      <c r="S67" s="23">
        <f>ROUND(U66*(1+G$7/12),2)</f>
        <v/>
      </c>
      <c r="T67" s="23">
        <f>MIN(G$8,S67)+MAX(0,MIN(S67-MIN(G$8,S67),$C67-((H67-MIN(C$8,G67))+(K67-MIN(D$8,J67))+(N67-MIN(E$8,M67))+(Q67-MIN(F$8,P67)))))</f>
        <v/>
      </c>
      <c r="U67" s="23">
        <f>ROUND(S67-T67,2)</f>
        <v/>
      </c>
    </row>
    <row r="68">
      <c r="A68" t="n">
        <v>57</v>
      </c>
      <c r="B68" s="22">
        <f>EDATE(Debts!$B$5,56)</f>
        <v/>
      </c>
      <c r="C68" s="23">
        <f>MAX(0,Debts!$B$6-(MIN(C$8,G68)+MIN(D$8,J68)+MIN(E$8,M68)+MIN(F$8,P68)+MIN(G$8,S68)))</f>
        <v/>
      </c>
      <c r="D68" s="23">
        <f>H68+K68+N68+Q68+T68</f>
        <v/>
      </c>
      <c r="E68" s="23">
        <f>I68+L68+O68+R68+U68</f>
        <v/>
      </c>
      <c r="F68" s="23" t="n"/>
      <c r="G68" s="23">
        <f>ROUND(I67*(1+C$7/12),2)</f>
        <v/>
      </c>
      <c r="H68" s="23">
        <f>MIN(C$8,G68)+MAX(0,MIN(G68-MIN(C$8,G68),$C68-(0)))</f>
        <v/>
      </c>
      <c r="I68" s="23">
        <f>ROUND(G68-H68,2)</f>
        <v/>
      </c>
      <c r="J68" s="23">
        <f>ROUND(L67*(1+D$7/12),2)</f>
        <v/>
      </c>
      <c r="K68" s="23">
        <f>MIN(D$8,J68)+MAX(0,MIN(J68-MIN(D$8,J68),$C68-((H68-MIN(C$8,G68)))))</f>
        <v/>
      </c>
      <c r="L68" s="23">
        <f>ROUND(J68-K68,2)</f>
        <v/>
      </c>
      <c r="M68" s="23">
        <f>ROUND(O67*(1+E$7/12),2)</f>
        <v/>
      </c>
      <c r="N68" s="23">
        <f>MIN(E$8,M68)+MAX(0,MIN(M68-MIN(E$8,M68),$C68-((H68-MIN(C$8,G68))+(K68-MIN(D$8,J68)))))</f>
        <v/>
      </c>
      <c r="O68" s="23">
        <f>ROUND(M68-N68,2)</f>
        <v/>
      </c>
      <c r="P68" s="23">
        <f>ROUND(R67*(1+F$7/12),2)</f>
        <v/>
      </c>
      <c r="Q68" s="23">
        <f>MIN(F$8,P68)+MAX(0,MIN(P68-MIN(F$8,P68),$C68-((H68-MIN(C$8,G68))+(K68-MIN(D$8,J68))+(N68-MIN(E$8,M68)))))</f>
        <v/>
      </c>
      <c r="R68" s="23">
        <f>ROUND(P68-Q68,2)</f>
        <v/>
      </c>
      <c r="S68" s="23">
        <f>ROUND(U67*(1+G$7/12),2)</f>
        <v/>
      </c>
      <c r="T68" s="23">
        <f>MIN(G$8,S68)+MAX(0,MIN(S68-MIN(G$8,S68),$C68-((H68-MIN(C$8,G68))+(K68-MIN(D$8,J68))+(N68-MIN(E$8,M68))+(Q68-MIN(F$8,P68)))))</f>
        <v/>
      </c>
      <c r="U68" s="23">
        <f>ROUND(S68-T68,2)</f>
        <v/>
      </c>
    </row>
    <row r="69">
      <c r="A69" t="n">
        <v>58</v>
      </c>
      <c r="B69" s="22">
        <f>EDATE(Debts!$B$5,57)</f>
        <v/>
      </c>
      <c r="C69" s="23">
        <f>MAX(0,Debts!$B$6-(MIN(C$8,G69)+MIN(D$8,J69)+MIN(E$8,M69)+MIN(F$8,P69)+MIN(G$8,S69)))</f>
        <v/>
      </c>
      <c r="D69" s="23">
        <f>H69+K69+N69+Q69+T69</f>
        <v/>
      </c>
      <c r="E69" s="23">
        <f>I69+L69+O69+R69+U69</f>
        <v/>
      </c>
      <c r="F69" s="23" t="n"/>
      <c r="G69" s="23">
        <f>ROUND(I68*(1+C$7/12),2)</f>
        <v/>
      </c>
      <c r="H69" s="23">
        <f>MIN(C$8,G69)+MAX(0,MIN(G69-MIN(C$8,G69),$C69-(0)))</f>
        <v/>
      </c>
      <c r="I69" s="23">
        <f>ROUND(G69-H69,2)</f>
        <v/>
      </c>
      <c r="J69" s="23">
        <f>ROUND(L68*(1+D$7/12),2)</f>
        <v/>
      </c>
      <c r="K69" s="23">
        <f>MIN(D$8,J69)+MAX(0,MIN(J69-MIN(D$8,J69),$C69-((H69-MIN(C$8,G69)))))</f>
        <v/>
      </c>
      <c r="L69" s="23">
        <f>ROUND(J69-K69,2)</f>
        <v/>
      </c>
      <c r="M69" s="23">
        <f>ROUND(O68*(1+E$7/12),2)</f>
        <v/>
      </c>
      <c r="N69" s="23">
        <f>MIN(E$8,M69)+MAX(0,MIN(M69-MIN(E$8,M69),$C69-((H69-MIN(C$8,G69))+(K69-MIN(D$8,J69)))))</f>
        <v/>
      </c>
      <c r="O69" s="23">
        <f>ROUND(M69-N69,2)</f>
        <v/>
      </c>
      <c r="P69" s="23">
        <f>ROUND(R68*(1+F$7/12),2)</f>
        <v/>
      </c>
      <c r="Q69" s="23">
        <f>MIN(F$8,P69)+MAX(0,MIN(P69-MIN(F$8,P69),$C69-((H69-MIN(C$8,G69))+(K69-MIN(D$8,J69))+(N69-MIN(E$8,M69)))))</f>
        <v/>
      </c>
      <c r="R69" s="23">
        <f>ROUND(P69-Q69,2)</f>
        <v/>
      </c>
      <c r="S69" s="23">
        <f>ROUND(U68*(1+G$7/12),2)</f>
        <v/>
      </c>
      <c r="T69" s="23">
        <f>MIN(G$8,S69)+MAX(0,MIN(S69-MIN(G$8,S69),$C69-((H69-MIN(C$8,G69))+(K69-MIN(D$8,J69))+(N69-MIN(E$8,M69))+(Q69-MIN(F$8,P69)))))</f>
        <v/>
      </c>
      <c r="U69" s="23">
        <f>ROUND(S69-T69,2)</f>
        <v/>
      </c>
    </row>
    <row r="70">
      <c r="A70" t="n">
        <v>59</v>
      </c>
      <c r="B70" s="22">
        <f>EDATE(Debts!$B$5,58)</f>
        <v/>
      </c>
      <c r="C70" s="23">
        <f>MAX(0,Debts!$B$6-(MIN(C$8,G70)+MIN(D$8,J70)+MIN(E$8,M70)+MIN(F$8,P70)+MIN(G$8,S70)))</f>
        <v/>
      </c>
      <c r="D70" s="23">
        <f>H70+K70+N70+Q70+T70</f>
        <v/>
      </c>
      <c r="E70" s="23">
        <f>I70+L70+O70+R70+U70</f>
        <v/>
      </c>
      <c r="F70" s="23" t="n"/>
      <c r="G70" s="23">
        <f>ROUND(I69*(1+C$7/12),2)</f>
        <v/>
      </c>
      <c r="H70" s="23">
        <f>MIN(C$8,G70)+MAX(0,MIN(G70-MIN(C$8,G70),$C70-(0)))</f>
        <v/>
      </c>
      <c r="I70" s="23">
        <f>ROUND(G70-H70,2)</f>
        <v/>
      </c>
      <c r="J70" s="23">
        <f>ROUND(L69*(1+D$7/12),2)</f>
        <v/>
      </c>
      <c r="K70" s="23">
        <f>MIN(D$8,J70)+MAX(0,MIN(J70-MIN(D$8,J70),$C70-((H70-MIN(C$8,G70)))))</f>
        <v/>
      </c>
      <c r="L70" s="23">
        <f>ROUND(J70-K70,2)</f>
        <v/>
      </c>
      <c r="M70" s="23">
        <f>ROUND(O69*(1+E$7/12),2)</f>
        <v/>
      </c>
      <c r="N70" s="23">
        <f>MIN(E$8,M70)+MAX(0,MIN(M70-MIN(E$8,M70),$C70-((H70-MIN(C$8,G70))+(K70-MIN(D$8,J70)))))</f>
        <v/>
      </c>
      <c r="O70" s="23">
        <f>ROUND(M70-N70,2)</f>
        <v/>
      </c>
      <c r="P70" s="23">
        <f>ROUND(R69*(1+F$7/12),2)</f>
        <v/>
      </c>
      <c r="Q70" s="23">
        <f>MIN(F$8,P70)+MAX(0,MIN(P70-MIN(F$8,P70),$C70-((H70-MIN(C$8,G70))+(K70-MIN(D$8,J70))+(N70-MIN(E$8,M70)))))</f>
        <v/>
      </c>
      <c r="R70" s="23">
        <f>ROUND(P70-Q70,2)</f>
        <v/>
      </c>
      <c r="S70" s="23">
        <f>ROUND(U69*(1+G$7/12),2)</f>
        <v/>
      </c>
      <c r="T70" s="23">
        <f>MIN(G$8,S70)+MAX(0,MIN(S70-MIN(G$8,S70),$C70-((H70-MIN(C$8,G70))+(K70-MIN(D$8,J70))+(N70-MIN(E$8,M70))+(Q70-MIN(F$8,P70)))))</f>
        <v/>
      </c>
      <c r="U70" s="23">
        <f>ROUND(S70-T70,2)</f>
        <v/>
      </c>
    </row>
    <row r="71">
      <c r="A71" t="n">
        <v>60</v>
      </c>
      <c r="B71" s="22">
        <f>EDATE(Debts!$B$5,59)</f>
        <v/>
      </c>
      <c r="C71" s="23">
        <f>MAX(0,Debts!$B$6-(MIN(C$8,G71)+MIN(D$8,J71)+MIN(E$8,M71)+MIN(F$8,P71)+MIN(G$8,S71)))</f>
        <v/>
      </c>
      <c r="D71" s="23">
        <f>H71+K71+N71+Q71+T71</f>
        <v/>
      </c>
      <c r="E71" s="23">
        <f>I71+L71+O71+R71+U71</f>
        <v/>
      </c>
      <c r="F71" s="23" t="n"/>
      <c r="G71" s="23">
        <f>ROUND(I70*(1+C$7/12),2)</f>
        <v/>
      </c>
      <c r="H71" s="23">
        <f>MIN(C$8,G71)+MAX(0,MIN(G71-MIN(C$8,G71),$C71-(0)))</f>
        <v/>
      </c>
      <c r="I71" s="23">
        <f>ROUND(G71-H71,2)</f>
        <v/>
      </c>
      <c r="J71" s="23">
        <f>ROUND(L70*(1+D$7/12),2)</f>
        <v/>
      </c>
      <c r="K71" s="23">
        <f>MIN(D$8,J71)+MAX(0,MIN(J71-MIN(D$8,J71),$C71-((H71-MIN(C$8,G71)))))</f>
        <v/>
      </c>
      <c r="L71" s="23">
        <f>ROUND(J71-K71,2)</f>
        <v/>
      </c>
      <c r="M71" s="23">
        <f>ROUND(O70*(1+E$7/12),2)</f>
        <v/>
      </c>
      <c r="N71" s="23">
        <f>MIN(E$8,M71)+MAX(0,MIN(M71-MIN(E$8,M71),$C71-((H71-MIN(C$8,G71))+(K71-MIN(D$8,J71)))))</f>
        <v/>
      </c>
      <c r="O71" s="23">
        <f>ROUND(M71-N71,2)</f>
        <v/>
      </c>
      <c r="P71" s="23">
        <f>ROUND(R70*(1+F$7/12),2)</f>
        <v/>
      </c>
      <c r="Q71" s="23">
        <f>MIN(F$8,P71)+MAX(0,MIN(P71-MIN(F$8,P71),$C71-((H71-MIN(C$8,G71))+(K71-MIN(D$8,J71))+(N71-MIN(E$8,M71)))))</f>
        <v/>
      </c>
      <c r="R71" s="23">
        <f>ROUND(P71-Q71,2)</f>
        <v/>
      </c>
      <c r="S71" s="23">
        <f>ROUND(U70*(1+G$7/12),2)</f>
        <v/>
      </c>
      <c r="T71" s="23">
        <f>MIN(G$8,S71)+MAX(0,MIN(S71-MIN(G$8,S71),$C71-((H71-MIN(C$8,G71))+(K71-MIN(D$8,J71))+(N71-MIN(E$8,M71))+(Q71-MIN(F$8,P71)))))</f>
        <v/>
      </c>
      <c r="U71" s="23">
        <f>ROUND(S71-T71,2)</f>
        <v/>
      </c>
    </row>
    <row r="72">
      <c r="A72" t="n">
        <v>61</v>
      </c>
      <c r="B72" s="22">
        <f>EDATE(Debts!$B$5,60)</f>
        <v/>
      </c>
      <c r="C72" s="23">
        <f>MAX(0,Debts!$B$6-(MIN(C$8,G72)+MIN(D$8,J72)+MIN(E$8,M72)+MIN(F$8,P72)+MIN(G$8,S72)))</f>
        <v/>
      </c>
      <c r="D72" s="23">
        <f>H72+K72+N72+Q72+T72</f>
        <v/>
      </c>
      <c r="E72" s="23">
        <f>I72+L72+O72+R72+U72</f>
        <v/>
      </c>
      <c r="F72" s="23" t="n"/>
      <c r="G72" s="23">
        <f>ROUND(I71*(1+C$7/12),2)</f>
        <v/>
      </c>
      <c r="H72" s="23">
        <f>MIN(C$8,G72)+MAX(0,MIN(G72-MIN(C$8,G72),$C72-(0)))</f>
        <v/>
      </c>
      <c r="I72" s="23">
        <f>ROUND(G72-H72,2)</f>
        <v/>
      </c>
      <c r="J72" s="23">
        <f>ROUND(L71*(1+D$7/12),2)</f>
        <v/>
      </c>
      <c r="K72" s="23">
        <f>MIN(D$8,J72)+MAX(0,MIN(J72-MIN(D$8,J72),$C72-((H72-MIN(C$8,G72)))))</f>
        <v/>
      </c>
      <c r="L72" s="23">
        <f>ROUND(J72-K72,2)</f>
        <v/>
      </c>
      <c r="M72" s="23">
        <f>ROUND(O71*(1+E$7/12),2)</f>
        <v/>
      </c>
      <c r="N72" s="23">
        <f>MIN(E$8,M72)+MAX(0,MIN(M72-MIN(E$8,M72),$C72-((H72-MIN(C$8,G72))+(K72-MIN(D$8,J72)))))</f>
        <v/>
      </c>
      <c r="O72" s="23">
        <f>ROUND(M72-N72,2)</f>
        <v/>
      </c>
      <c r="P72" s="23">
        <f>ROUND(R71*(1+F$7/12),2)</f>
        <v/>
      </c>
      <c r="Q72" s="23">
        <f>MIN(F$8,P72)+MAX(0,MIN(P72-MIN(F$8,P72),$C72-((H72-MIN(C$8,G72))+(K72-MIN(D$8,J72))+(N72-MIN(E$8,M72)))))</f>
        <v/>
      </c>
      <c r="R72" s="23">
        <f>ROUND(P72-Q72,2)</f>
        <v/>
      </c>
      <c r="S72" s="23">
        <f>ROUND(U71*(1+G$7/12),2)</f>
        <v/>
      </c>
      <c r="T72" s="23">
        <f>MIN(G$8,S72)+MAX(0,MIN(S72-MIN(G$8,S72),$C72-((H72-MIN(C$8,G72))+(K72-MIN(D$8,J72))+(N72-MIN(E$8,M72))+(Q72-MIN(F$8,P72)))))</f>
        <v/>
      </c>
      <c r="U72" s="23">
        <f>ROUND(S72-T72,2)</f>
        <v/>
      </c>
    </row>
    <row r="73">
      <c r="A73" t="n">
        <v>62</v>
      </c>
      <c r="B73" s="22">
        <f>EDATE(Debts!$B$5,61)</f>
        <v/>
      </c>
      <c r="C73" s="23">
        <f>MAX(0,Debts!$B$6-(MIN(C$8,G73)+MIN(D$8,J73)+MIN(E$8,M73)+MIN(F$8,P73)+MIN(G$8,S73)))</f>
        <v/>
      </c>
      <c r="D73" s="23">
        <f>H73+K73+N73+Q73+T73</f>
        <v/>
      </c>
      <c r="E73" s="23">
        <f>I73+L73+O73+R73+U73</f>
        <v/>
      </c>
      <c r="F73" s="23" t="n"/>
      <c r="G73" s="23">
        <f>ROUND(I72*(1+C$7/12),2)</f>
        <v/>
      </c>
      <c r="H73" s="23">
        <f>MIN(C$8,G73)+MAX(0,MIN(G73-MIN(C$8,G73),$C73-(0)))</f>
        <v/>
      </c>
      <c r="I73" s="23">
        <f>ROUND(G73-H73,2)</f>
        <v/>
      </c>
      <c r="J73" s="23">
        <f>ROUND(L72*(1+D$7/12),2)</f>
        <v/>
      </c>
      <c r="K73" s="23">
        <f>MIN(D$8,J73)+MAX(0,MIN(J73-MIN(D$8,J73),$C73-((H73-MIN(C$8,G73)))))</f>
        <v/>
      </c>
      <c r="L73" s="23">
        <f>ROUND(J73-K73,2)</f>
        <v/>
      </c>
      <c r="M73" s="23">
        <f>ROUND(O72*(1+E$7/12),2)</f>
        <v/>
      </c>
      <c r="N73" s="23">
        <f>MIN(E$8,M73)+MAX(0,MIN(M73-MIN(E$8,M73),$C73-((H73-MIN(C$8,G73))+(K73-MIN(D$8,J73)))))</f>
        <v/>
      </c>
      <c r="O73" s="23">
        <f>ROUND(M73-N73,2)</f>
        <v/>
      </c>
      <c r="P73" s="23">
        <f>ROUND(R72*(1+F$7/12),2)</f>
        <v/>
      </c>
      <c r="Q73" s="23">
        <f>MIN(F$8,P73)+MAX(0,MIN(P73-MIN(F$8,P73),$C73-((H73-MIN(C$8,G73))+(K73-MIN(D$8,J73))+(N73-MIN(E$8,M73)))))</f>
        <v/>
      </c>
      <c r="R73" s="23">
        <f>ROUND(P73-Q73,2)</f>
        <v/>
      </c>
      <c r="S73" s="23">
        <f>ROUND(U72*(1+G$7/12),2)</f>
        <v/>
      </c>
      <c r="T73" s="23">
        <f>MIN(G$8,S73)+MAX(0,MIN(S73-MIN(G$8,S73),$C73-((H73-MIN(C$8,G73))+(K73-MIN(D$8,J73))+(N73-MIN(E$8,M73))+(Q73-MIN(F$8,P73)))))</f>
        <v/>
      </c>
      <c r="U73" s="23">
        <f>ROUND(S73-T73,2)</f>
        <v/>
      </c>
    </row>
    <row r="74">
      <c r="A74" t="n">
        <v>63</v>
      </c>
      <c r="B74" s="22">
        <f>EDATE(Debts!$B$5,62)</f>
        <v/>
      </c>
      <c r="C74" s="23">
        <f>MAX(0,Debts!$B$6-(MIN(C$8,G74)+MIN(D$8,J74)+MIN(E$8,M74)+MIN(F$8,P74)+MIN(G$8,S74)))</f>
        <v/>
      </c>
      <c r="D74" s="23">
        <f>H74+K74+N74+Q74+T74</f>
        <v/>
      </c>
      <c r="E74" s="23">
        <f>I74+L74+O74+R74+U74</f>
        <v/>
      </c>
      <c r="F74" s="23" t="n"/>
      <c r="G74" s="23">
        <f>ROUND(I73*(1+C$7/12),2)</f>
        <v/>
      </c>
      <c r="H74" s="23">
        <f>MIN(C$8,G74)+MAX(0,MIN(G74-MIN(C$8,G74),$C74-(0)))</f>
        <v/>
      </c>
      <c r="I74" s="23">
        <f>ROUND(G74-H74,2)</f>
        <v/>
      </c>
      <c r="J74" s="23">
        <f>ROUND(L73*(1+D$7/12),2)</f>
        <v/>
      </c>
      <c r="K74" s="23">
        <f>MIN(D$8,J74)+MAX(0,MIN(J74-MIN(D$8,J74),$C74-((H74-MIN(C$8,G74)))))</f>
        <v/>
      </c>
      <c r="L74" s="23">
        <f>ROUND(J74-K74,2)</f>
        <v/>
      </c>
      <c r="M74" s="23">
        <f>ROUND(O73*(1+E$7/12),2)</f>
        <v/>
      </c>
      <c r="N74" s="23">
        <f>MIN(E$8,M74)+MAX(0,MIN(M74-MIN(E$8,M74),$C74-((H74-MIN(C$8,G74))+(K74-MIN(D$8,J74)))))</f>
        <v/>
      </c>
      <c r="O74" s="23">
        <f>ROUND(M74-N74,2)</f>
        <v/>
      </c>
      <c r="P74" s="23">
        <f>ROUND(R73*(1+F$7/12),2)</f>
        <v/>
      </c>
      <c r="Q74" s="23">
        <f>MIN(F$8,P74)+MAX(0,MIN(P74-MIN(F$8,P74),$C74-((H74-MIN(C$8,G74))+(K74-MIN(D$8,J74))+(N74-MIN(E$8,M74)))))</f>
        <v/>
      </c>
      <c r="R74" s="23">
        <f>ROUND(P74-Q74,2)</f>
        <v/>
      </c>
      <c r="S74" s="23">
        <f>ROUND(U73*(1+G$7/12),2)</f>
        <v/>
      </c>
      <c r="T74" s="23">
        <f>MIN(G$8,S74)+MAX(0,MIN(S74-MIN(G$8,S74),$C74-((H74-MIN(C$8,G74))+(K74-MIN(D$8,J74))+(N74-MIN(E$8,M74))+(Q74-MIN(F$8,P74)))))</f>
        <v/>
      </c>
      <c r="U74" s="23">
        <f>ROUND(S74-T74,2)</f>
        <v/>
      </c>
    </row>
    <row r="75">
      <c r="A75" t="n">
        <v>64</v>
      </c>
      <c r="B75" s="22">
        <f>EDATE(Debts!$B$5,63)</f>
        <v/>
      </c>
      <c r="C75" s="23">
        <f>MAX(0,Debts!$B$6-(MIN(C$8,G75)+MIN(D$8,J75)+MIN(E$8,M75)+MIN(F$8,P75)+MIN(G$8,S75)))</f>
        <v/>
      </c>
      <c r="D75" s="23">
        <f>H75+K75+N75+Q75+T75</f>
        <v/>
      </c>
      <c r="E75" s="23">
        <f>I75+L75+O75+R75+U75</f>
        <v/>
      </c>
      <c r="F75" s="23" t="n"/>
      <c r="G75" s="23">
        <f>ROUND(I74*(1+C$7/12),2)</f>
        <v/>
      </c>
      <c r="H75" s="23">
        <f>MIN(C$8,G75)+MAX(0,MIN(G75-MIN(C$8,G75),$C75-(0)))</f>
        <v/>
      </c>
      <c r="I75" s="23">
        <f>ROUND(G75-H75,2)</f>
        <v/>
      </c>
      <c r="J75" s="23">
        <f>ROUND(L74*(1+D$7/12),2)</f>
        <v/>
      </c>
      <c r="K75" s="23">
        <f>MIN(D$8,J75)+MAX(0,MIN(J75-MIN(D$8,J75),$C75-((H75-MIN(C$8,G75)))))</f>
        <v/>
      </c>
      <c r="L75" s="23">
        <f>ROUND(J75-K75,2)</f>
        <v/>
      </c>
      <c r="M75" s="23">
        <f>ROUND(O74*(1+E$7/12),2)</f>
        <v/>
      </c>
      <c r="N75" s="23">
        <f>MIN(E$8,M75)+MAX(0,MIN(M75-MIN(E$8,M75),$C75-((H75-MIN(C$8,G75))+(K75-MIN(D$8,J75)))))</f>
        <v/>
      </c>
      <c r="O75" s="23">
        <f>ROUND(M75-N75,2)</f>
        <v/>
      </c>
      <c r="P75" s="23">
        <f>ROUND(R74*(1+F$7/12),2)</f>
        <v/>
      </c>
      <c r="Q75" s="23">
        <f>MIN(F$8,P75)+MAX(0,MIN(P75-MIN(F$8,P75),$C75-((H75-MIN(C$8,G75))+(K75-MIN(D$8,J75))+(N75-MIN(E$8,M75)))))</f>
        <v/>
      </c>
      <c r="R75" s="23">
        <f>ROUND(P75-Q75,2)</f>
        <v/>
      </c>
      <c r="S75" s="23">
        <f>ROUND(U74*(1+G$7/12),2)</f>
        <v/>
      </c>
      <c r="T75" s="23">
        <f>MIN(G$8,S75)+MAX(0,MIN(S75-MIN(G$8,S75),$C75-((H75-MIN(C$8,G75))+(K75-MIN(D$8,J75))+(N75-MIN(E$8,M75))+(Q75-MIN(F$8,P75)))))</f>
        <v/>
      </c>
      <c r="U75" s="23">
        <f>ROUND(S75-T75,2)</f>
        <v/>
      </c>
    </row>
    <row r="76">
      <c r="A76" t="n">
        <v>65</v>
      </c>
      <c r="B76" s="22">
        <f>EDATE(Debts!$B$5,64)</f>
        <v/>
      </c>
      <c r="C76" s="23">
        <f>MAX(0,Debts!$B$6-(MIN(C$8,G76)+MIN(D$8,J76)+MIN(E$8,M76)+MIN(F$8,P76)+MIN(G$8,S76)))</f>
        <v/>
      </c>
      <c r="D76" s="23">
        <f>H76+K76+N76+Q76+T76</f>
        <v/>
      </c>
      <c r="E76" s="23">
        <f>I76+L76+O76+R76+U76</f>
        <v/>
      </c>
      <c r="F76" s="23" t="n"/>
      <c r="G76" s="23">
        <f>ROUND(I75*(1+C$7/12),2)</f>
        <v/>
      </c>
      <c r="H76" s="23">
        <f>MIN(C$8,G76)+MAX(0,MIN(G76-MIN(C$8,G76),$C76-(0)))</f>
        <v/>
      </c>
      <c r="I76" s="23">
        <f>ROUND(G76-H76,2)</f>
        <v/>
      </c>
      <c r="J76" s="23">
        <f>ROUND(L75*(1+D$7/12),2)</f>
        <v/>
      </c>
      <c r="K76" s="23">
        <f>MIN(D$8,J76)+MAX(0,MIN(J76-MIN(D$8,J76),$C76-((H76-MIN(C$8,G76)))))</f>
        <v/>
      </c>
      <c r="L76" s="23">
        <f>ROUND(J76-K76,2)</f>
        <v/>
      </c>
      <c r="M76" s="23">
        <f>ROUND(O75*(1+E$7/12),2)</f>
        <v/>
      </c>
      <c r="N76" s="23">
        <f>MIN(E$8,M76)+MAX(0,MIN(M76-MIN(E$8,M76),$C76-((H76-MIN(C$8,G76))+(K76-MIN(D$8,J76)))))</f>
        <v/>
      </c>
      <c r="O76" s="23">
        <f>ROUND(M76-N76,2)</f>
        <v/>
      </c>
      <c r="P76" s="23">
        <f>ROUND(R75*(1+F$7/12),2)</f>
        <v/>
      </c>
      <c r="Q76" s="23">
        <f>MIN(F$8,P76)+MAX(0,MIN(P76-MIN(F$8,P76),$C76-((H76-MIN(C$8,G76))+(K76-MIN(D$8,J76))+(N76-MIN(E$8,M76)))))</f>
        <v/>
      </c>
      <c r="R76" s="23">
        <f>ROUND(P76-Q76,2)</f>
        <v/>
      </c>
      <c r="S76" s="23">
        <f>ROUND(U75*(1+G$7/12),2)</f>
        <v/>
      </c>
      <c r="T76" s="23">
        <f>MIN(G$8,S76)+MAX(0,MIN(S76-MIN(G$8,S76),$C76-((H76-MIN(C$8,G76))+(K76-MIN(D$8,J76))+(N76-MIN(E$8,M76))+(Q76-MIN(F$8,P76)))))</f>
        <v/>
      </c>
      <c r="U76" s="23">
        <f>ROUND(S76-T76,2)</f>
        <v/>
      </c>
    </row>
    <row r="77">
      <c r="A77" t="n">
        <v>66</v>
      </c>
      <c r="B77" s="22">
        <f>EDATE(Debts!$B$5,65)</f>
        <v/>
      </c>
      <c r="C77" s="23">
        <f>MAX(0,Debts!$B$6-(MIN(C$8,G77)+MIN(D$8,J77)+MIN(E$8,M77)+MIN(F$8,P77)+MIN(G$8,S77)))</f>
        <v/>
      </c>
      <c r="D77" s="23">
        <f>H77+K77+N77+Q77+T77</f>
        <v/>
      </c>
      <c r="E77" s="23">
        <f>I77+L77+O77+R77+U77</f>
        <v/>
      </c>
      <c r="F77" s="23" t="n"/>
      <c r="G77" s="23">
        <f>ROUND(I76*(1+C$7/12),2)</f>
        <v/>
      </c>
      <c r="H77" s="23">
        <f>MIN(C$8,G77)+MAX(0,MIN(G77-MIN(C$8,G77),$C77-(0)))</f>
        <v/>
      </c>
      <c r="I77" s="23">
        <f>ROUND(G77-H77,2)</f>
        <v/>
      </c>
      <c r="J77" s="23">
        <f>ROUND(L76*(1+D$7/12),2)</f>
        <v/>
      </c>
      <c r="K77" s="23">
        <f>MIN(D$8,J77)+MAX(0,MIN(J77-MIN(D$8,J77),$C77-((H77-MIN(C$8,G77)))))</f>
        <v/>
      </c>
      <c r="L77" s="23">
        <f>ROUND(J77-K77,2)</f>
        <v/>
      </c>
      <c r="M77" s="23">
        <f>ROUND(O76*(1+E$7/12),2)</f>
        <v/>
      </c>
      <c r="N77" s="23">
        <f>MIN(E$8,M77)+MAX(0,MIN(M77-MIN(E$8,M77),$C77-((H77-MIN(C$8,G77))+(K77-MIN(D$8,J77)))))</f>
        <v/>
      </c>
      <c r="O77" s="23">
        <f>ROUND(M77-N77,2)</f>
        <v/>
      </c>
      <c r="P77" s="23">
        <f>ROUND(R76*(1+F$7/12),2)</f>
        <v/>
      </c>
      <c r="Q77" s="23">
        <f>MIN(F$8,P77)+MAX(0,MIN(P77-MIN(F$8,P77),$C77-((H77-MIN(C$8,G77))+(K77-MIN(D$8,J77))+(N77-MIN(E$8,M77)))))</f>
        <v/>
      </c>
      <c r="R77" s="23">
        <f>ROUND(P77-Q77,2)</f>
        <v/>
      </c>
      <c r="S77" s="23">
        <f>ROUND(U76*(1+G$7/12),2)</f>
        <v/>
      </c>
      <c r="T77" s="23">
        <f>MIN(G$8,S77)+MAX(0,MIN(S77-MIN(G$8,S77),$C77-((H77-MIN(C$8,G77))+(K77-MIN(D$8,J77))+(N77-MIN(E$8,M77))+(Q77-MIN(F$8,P77)))))</f>
        <v/>
      </c>
      <c r="U77" s="23">
        <f>ROUND(S77-T77,2)</f>
        <v/>
      </c>
    </row>
    <row r="78">
      <c r="A78" t="n">
        <v>67</v>
      </c>
      <c r="B78" s="22">
        <f>EDATE(Debts!$B$5,66)</f>
        <v/>
      </c>
      <c r="C78" s="23">
        <f>MAX(0,Debts!$B$6-(MIN(C$8,G78)+MIN(D$8,J78)+MIN(E$8,M78)+MIN(F$8,P78)+MIN(G$8,S78)))</f>
        <v/>
      </c>
      <c r="D78" s="23">
        <f>H78+K78+N78+Q78+T78</f>
        <v/>
      </c>
      <c r="E78" s="23">
        <f>I78+L78+O78+R78+U78</f>
        <v/>
      </c>
      <c r="F78" s="23" t="n"/>
      <c r="G78" s="23">
        <f>ROUND(I77*(1+C$7/12),2)</f>
        <v/>
      </c>
      <c r="H78" s="23">
        <f>MIN(C$8,G78)+MAX(0,MIN(G78-MIN(C$8,G78),$C78-(0)))</f>
        <v/>
      </c>
      <c r="I78" s="23">
        <f>ROUND(G78-H78,2)</f>
        <v/>
      </c>
      <c r="J78" s="23">
        <f>ROUND(L77*(1+D$7/12),2)</f>
        <v/>
      </c>
      <c r="K78" s="23">
        <f>MIN(D$8,J78)+MAX(0,MIN(J78-MIN(D$8,J78),$C78-((H78-MIN(C$8,G78)))))</f>
        <v/>
      </c>
      <c r="L78" s="23">
        <f>ROUND(J78-K78,2)</f>
        <v/>
      </c>
      <c r="M78" s="23">
        <f>ROUND(O77*(1+E$7/12),2)</f>
        <v/>
      </c>
      <c r="N78" s="23">
        <f>MIN(E$8,M78)+MAX(0,MIN(M78-MIN(E$8,M78),$C78-((H78-MIN(C$8,G78))+(K78-MIN(D$8,J78)))))</f>
        <v/>
      </c>
      <c r="O78" s="23">
        <f>ROUND(M78-N78,2)</f>
        <v/>
      </c>
      <c r="P78" s="23">
        <f>ROUND(R77*(1+F$7/12),2)</f>
        <v/>
      </c>
      <c r="Q78" s="23">
        <f>MIN(F$8,P78)+MAX(0,MIN(P78-MIN(F$8,P78),$C78-((H78-MIN(C$8,G78))+(K78-MIN(D$8,J78))+(N78-MIN(E$8,M78)))))</f>
        <v/>
      </c>
      <c r="R78" s="23">
        <f>ROUND(P78-Q78,2)</f>
        <v/>
      </c>
      <c r="S78" s="23">
        <f>ROUND(U77*(1+G$7/12),2)</f>
        <v/>
      </c>
      <c r="T78" s="23">
        <f>MIN(G$8,S78)+MAX(0,MIN(S78-MIN(G$8,S78),$C78-((H78-MIN(C$8,G78))+(K78-MIN(D$8,J78))+(N78-MIN(E$8,M78))+(Q78-MIN(F$8,P78)))))</f>
        <v/>
      </c>
      <c r="U78" s="23">
        <f>ROUND(S78-T78,2)</f>
        <v/>
      </c>
    </row>
    <row r="79">
      <c r="A79" t="n">
        <v>68</v>
      </c>
      <c r="B79" s="22">
        <f>EDATE(Debts!$B$5,67)</f>
        <v/>
      </c>
      <c r="C79" s="23">
        <f>MAX(0,Debts!$B$6-(MIN(C$8,G79)+MIN(D$8,J79)+MIN(E$8,M79)+MIN(F$8,P79)+MIN(G$8,S79)))</f>
        <v/>
      </c>
      <c r="D79" s="23">
        <f>H79+K79+N79+Q79+T79</f>
        <v/>
      </c>
      <c r="E79" s="23">
        <f>I79+L79+O79+R79+U79</f>
        <v/>
      </c>
      <c r="F79" s="23" t="n"/>
      <c r="G79" s="23">
        <f>ROUND(I78*(1+C$7/12),2)</f>
        <v/>
      </c>
      <c r="H79" s="23">
        <f>MIN(C$8,G79)+MAX(0,MIN(G79-MIN(C$8,G79),$C79-(0)))</f>
        <v/>
      </c>
      <c r="I79" s="23">
        <f>ROUND(G79-H79,2)</f>
        <v/>
      </c>
      <c r="J79" s="23">
        <f>ROUND(L78*(1+D$7/12),2)</f>
        <v/>
      </c>
      <c r="K79" s="23">
        <f>MIN(D$8,J79)+MAX(0,MIN(J79-MIN(D$8,J79),$C79-((H79-MIN(C$8,G79)))))</f>
        <v/>
      </c>
      <c r="L79" s="23">
        <f>ROUND(J79-K79,2)</f>
        <v/>
      </c>
      <c r="M79" s="23">
        <f>ROUND(O78*(1+E$7/12),2)</f>
        <v/>
      </c>
      <c r="N79" s="23">
        <f>MIN(E$8,M79)+MAX(0,MIN(M79-MIN(E$8,M79),$C79-((H79-MIN(C$8,G79))+(K79-MIN(D$8,J79)))))</f>
        <v/>
      </c>
      <c r="O79" s="23">
        <f>ROUND(M79-N79,2)</f>
        <v/>
      </c>
      <c r="P79" s="23">
        <f>ROUND(R78*(1+F$7/12),2)</f>
        <v/>
      </c>
      <c r="Q79" s="23">
        <f>MIN(F$8,P79)+MAX(0,MIN(P79-MIN(F$8,P79),$C79-((H79-MIN(C$8,G79))+(K79-MIN(D$8,J79))+(N79-MIN(E$8,M79)))))</f>
        <v/>
      </c>
      <c r="R79" s="23">
        <f>ROUND(P79-Q79,2)</f>
        <v/>
      </c>
      <c r="S79" s="23">
        <f>ROUND(U78*(1+G$7/12),2)</f>
        <v/>
      </c>
      <c r="T79" s="23">
        <f>MIN(G$8,S79)+MAX(0,MIN(S79-MIN(G$8,S79),$C79-((H79-MIN(C$8,G79))+(K79-MIN(D$8,J79))+(N79-MIN(E$8,M79))+(Q79-MIN(F$8,P79)))))</f>
        <v/>
      </c>
      <c r="U79" s="23">
        <f>ROUND(S79-T79,2)</f>
        <v/>
      </c>
    </row>
    <row r="80">
      <c r="A80" t="n">
        <v>69</v>
      </c>
      <c r="B80" s="22">
        <f>EDATE(Debts!$B$5,68)</f>
        <v/>
      </c>
      <c r="C80" s="23">
        <f>MAX(0,Debts!$B$6-(MIN(C$8,G80)+MIN(D$8,J80)+MIN(E$8,M80)+MIN(F$8,P80)+MIN(G$8,S80)))</f>
        <v/>
      </c>
      <c r="D80" s="23">
        <f>H80+K80+N80+Q80+T80</f>
        <v/>
      </c>
      <c r="E80" s="23">
        <f>I80+L80+O80+R80+U80</f>
        <v/>
      </c>
      <c r="F80" s="23" t="n"/>
      <c r="G80" s="23">
        <f>ROUND(I79*(1+C$7/12),2)</f>
        <v/>
      </c>
      <c r="H80" s="23">
        <f>MIN(C$8,G80)+MAX(0,MIN(G80-MIN(C$8,G80),$C80-(0)))</f>
        <v/>
      </c>
      <c r="I80" s="23">
        <f>ROUND(G80-H80,2)</f>
        <v/>
      </c>
      <c r="J80" s="23">
        <f>ROUND(L79*(1+D$7/12),2)</f>
        <v/>
      </c>
      <c r="K80" s="23">
        <f>MIN(D$8,J80)+MAX(0,MIN(J80-MIN(D$8,J80),$C80-((H80-MIN(C$8,G80)))))</f>
        <v/>
      </c>
      <c r="L80" s="23">
        <f>ROUND(J80-K80,2)</f>
        <v/>
      </c>
      <c r="M80" s="23">
        <f>ROUND(O79*(1+E$7/12),2)</f>
        <v/>
      </c>
      <c r="N80" s="23">
        <f>MIN(E$8,M80)+MAX(0,MIN(M80-MIN(E$8,M80),$C80-((H80-MIN(C$8,G80))+(K80-MIN(D$8,J80)))))</f>
        <v/>
      </c>
      <c r="O80" s="23">
        <f>ROUND(M80-N80,2)</f>
        <v/>
      </c>
      <c r="P80" s="23">
        <f>ROUND(R79*(1+F$7/12),2)</f>
        <v/>
      </c>
      <c r="Q80" s="23">
        <f>MIN(F$8,P80)+MAX(0,MIN(P80-MIN(F$8,P80),$C80-((H80-MIN(C$8,G80))+(K80-MIN(D$8,J80))+(N80-MIN(E$8,M80)))))</f>
        <v/>
      </c>
      <c r="R80" s="23">
        <f>ROUND(P80-Q80,2)</f>
        <v/>
      </c>
      <c r="S80" s="23">
        <f>ROUND(U79*(1+G$7/12),2)</f>
        <v/>
      </c>
      <c r="T80" s="23">
        <f>MIN(G$8,S80)+MAX(0,MIN(S80-MIN(G$8,S80),$C80-((H80-MIN(C$8,G80))+(K80-MIN(D$8,J80))+(N80-MIN(E$8,M80))+(Q80-MIN(F$8,P80)))))</f>
        <v/>
      </c>
      <c r="U80" s="23">
        <f>ROUND(S80-T80,2)</f>
        <v/>
      </c>
    </row>
    <row r="81">
      <c r="A81" t="n">
        <v>70</v>
      </c>
      <c r="B81" s="22">
        <f>EDATE(Debts!$B$5,69)</f>
        <v/>
      </c>
      <c r="C81" s="23">
        <f>MAX(0,Debts!$B$6-(MIN(C$8,G81)+MIN(D$8,J81)+MIN(E$8,M81)+MIN(F$8,P81)+MIN(G$8,S81)))</f>
        <v/>
      </c>
      <c r="D81" s="23">
        <f>H81+K81+N81+Q81+T81</f>
        <v/>
      </c>
      <c r="E81" s="23">
        <f>I81+L81+O81+R81+U81</f>
        <v/>
      </c>
      <c r="F81" s="23" t="n"/>
      <c r="G81" s="23">
        <f>ROUND(I80*(1+C$7/12),2)</f>
        <v/>
      </c>
      <c r="H81" s="23">
        <f>MIN(C$8,G81)+MAX(0,MIN(G81-MIN(C$8,G81),$C81-(0)))</f>
        <v/>
      </c>
      <c r="I81" s="23">
        <f>ROUND(G81-H81,2)</f>
        <v/>
      </c>
      <c r="J81" s="23">
        <f>ROUND(L80*(1+D$7/12),2)</f>
        <v/>
      </c>
      <c r="K81" s="23">
        <f>MIN(D$8,J81)+MAX(0,MIN(J81-MIN(D$8,J81),$C81-((H81-MIN(C$8,G81)))))</f>
        <v/>
      </c>
      <c r="L81" s="23">
        <f>ROUND(J81-K81,2)</f>
        <v/>
      </c>
      <c r="M81" s="23">
        <f>ROUND(O80*(1+E$7/12),2)</f>
        <v/>
      </c>
      <c r="N81" s="23">
        <f>MIN(E$8,M81)+MAX(0,MIN(M81-MIN(E$8,M81),$C81-((H81-MIN(C$8,G81))+(K81-MIN(D$8,J81)))))</f>
        <v/>
      </c>
      <c r="O81" s="23">
        <f>ROUND(M81-N81,2)</f>
        <v/>
      </c>
      <c r="P81" s="23">
        <f>ROUND(R80*(1+F$7/12),2)</f>
        <v/>
      </c>
      <c r="Q81" s="23">
        <f>MIN(F$8,P81)+MAX(0,MIN(P81-MIN(F$8,P81),$C81-((H81-MIN(C$8,G81))+(K81-MIN(D$8,J81))+(N81-MIN(E$8,M81)))))</f>
        <v/>
      </c>
      <c r="R81" s="23">
        <f>ROUND(P81-Q81,2)</f>
        <v/>
      </c>
      <c r="S81" s="23">
        <f>ROUND(U80*(1+G$7/12),2)</f>
        <v/>
      </c>
      <c r="T81" s="23">
        <f>MIN(G$8,S81)+MAX(0,MIN(S81-MIN(G$8,S81),$C81-((H81-MIN(C$8,G81))+(K81-MIN(D$8,J81))+(N81-MIN(E$8,M81))+(Q81-MIN(F$8,P81)))))</f>
        <v/>
      </c>
      <c r="U81" s="23">
        <f>ROUND(S81-T81,2)</f>
        <v/>
      </c>
    </row>
    <row r="82">
      <c r="A82" t="n">
        <v>71</v>
      </c>
      <c r="B82" s="22">
        <f>EDATE(Debts!$B$5,70)</f>
        <v/>
      </c>
      <c r="C82" s="23">
        <f>MAX(0,Debts!$B$6-(MIN(C$8,G82)+MIN(D$8,J82)+MIN(E$8,M82)+MIN(F$8,P82)+MIN(G$8,S82)))</f>
        <v/>
      </c>
      <c r="D82" s="23">
        <f>H82+K82+N82+Q82+T82</f>
        <v/>
      </c>
      <c r="E82" s="23">
        <f>I82+L82+O82+R82+U82</f>
        <v/>
      </c>
      <c r="F82" s="23" t="n"/>
      <c r="G82" s="23">
        <f>ROUND(I81*(1+C$7/12),2)</f>
        <v/>
      </c>
      <c r="H82" s="23">
        <f>MIN(C$8,G82)+MAX(0,MIN(G82-MIN(C$8,G82),$C82-(0)))</f>
        <v/>
      </c>
      <c r="I82" s="23">
        <f>ROUND(G82-H82,2)</f>
        <v/>
      </c>
      <c r="J82" s="23">
        <f>ROUND(L81*(1+D$7/12),2)</f>
        <v/>
      </c>
      <c r="K82" s="23">
        <f>MIN(D$8,J82)+MAX(0,MIN(J82-MIN(D$8,J82),$C82-((H82-MIN(C$8,G82)))))</f>
        <v/>
      </c>
      <c r="L82" s="23">
        <f>ROUND(J82-K82,2)</f>
        <v/>
      </c>
      <c r="M82" s="23">
        <f>ROUND(O81*(1+E$7/12),2)</f>
        <v/>
      </c>
      <c r="N82" s="23">
        <f>MIN(E$8,M82)+MAX(0,MIN(M82-MIN(E$8,M82),$C82-((H82-MIN(C$8,G82))+(K82-MIN(D$8,J82)))))</f>
        <v/>
      </c>
      <c r="O82" s="23">
        <f>ROUND(M82-N82,2)</f>
        <v/>
      </c>
      <c r="P82" s="23">
        <f>ROUND(R81*(1+F$7/12),2)</f>
        <v/>
      </c>
      <c r="Q82" s="23">
        <f>MIN(F$8,P82)+MAX(0,MIN(P82-MIN(F$8,P82),$C82-((H82-MIN(C$8,G82))+(K82-MIN(D$8,J82))+(N82-MIN(E$8,M82)))))</f>
        <v/>
      </c>
      <c r="R82" s="23">
        <f>ROUND(P82-Q82,2)</f>
        <v/>
      </c>
      <c r="S82" s="23">
        <f>ROUND(U81*(1+G$7/12),2)</f>
        <v/>
      </c>
      <c r="T82" s="23">
        <f>MIN(G$8,S82)+MAX(0,MIN(S82-MIN(G$8,S82),$C82-((H82-MIN(C$8,G82))+(K82-MIN(D$8,J82))+(N82-MIN(E$8,M82))+(Q82-MIN(F$8,P82)))))</f>
        <v/>
      </c>
      <c r="U82" s="23">
        <f>ROUND(S82-T82,2)</f>
        <v/>
      </c>
    </row>
    <row r="83">
      <c r="A83" t="n">
        <v>72</v>
      </c>
      <c r="B83" s="22">
        <f>EDATE(Debts!$B$5,71)</f>
        <v/>
      </c>
      <c r="C83" s="23">
        <f>MAX(0,Debts!$B$6-(MIN(C$8,G83)+MIN(D$8,J83)+MIN(E$8,M83)+MIN(F$8,P83)+MIN(G$8,S83)))</f>
        <v/>
      </c>
      <c r="D83" s="23">
        <f>H83+K83+N83+Q83+T83</f>
        <v/>
      </c>
      <c r="E83" s="23">
        <f>I83+L83+O83+R83+U83</f>
        <v/>
      </c>
      <c r="F83" s="23" t="n"/>
      <c r="G83" s="23">
        <f>ROUND(I82*(1+C$7/12),2)</f>
        <v/>
      </c>
      <c r="H83" s="23">
        <f>MIN(C$8,G83)+MAX(0,MIN(G83-MIN(C$8,G83),$C83-(0)))</f>
        <v/>
      </c>
      <c r="I83" s="23">
        <f>ROUND(G83-H83,2)</f>
        <v/>
      </c>
      <c r="J83" s="23">
        <f>ROUND(L82*(1+D$7/12),2)</f>
        <v/>
      </c>
      <c r="K83" s="23">
        <f>MIN(D$8,J83)+MAX(0,MIN(J83-MIN(D$8,J83),$C83-((H83-MIN(C$8,G83)))))</f>
        <v/>
      </c>
      <c r="L83" s="23">
        <f>ROUND(J83-K83,2)</f>
        <v/>
      </c>
      <c r="M83" s="23">
        <f>ROUND(O82*(1+E$7/12),2)</f>
        <v/>
      </c>
      <c r="N83" s="23">
        <f>MIN(E$8,M83)+MAX(0,MIN(M83-MIN(E$8,M83),$C83-((H83-MIN(C$8,G83))+(K83-MIN(D$8,J83)))))</f>
        <v/>
      </c>
      <c r="O83" s="23">
        <f>ROUND(M83-N83,2)</f>
        <v/>
      </c>
      <c r="P83" s="23">
        <f>ROUND(R82*(1+F$7/12),2)</f>
        <v/>
      </c>
      <c r="Q83" s="23">
        <f>MIN(F$8,P83)+MAX(0,MIN(P83-MIN(F$8,P83),$C83-((H83-MIN(C$8,G83))+(K83-MIN(D$8,J83))+(N83-MIN(E$8,M83)))))</f>
        <v/>
      </c>
      <c r="R83" s="23">
        <f>ROUND(P83-Q83,2)</f>
        <v/>
      </c>
      <c r="S83" s="23">
        <f>ROUND(U82*(1+G$7/12),2)</f>
        <v/>
      </c>
      <c r="T83" s="23">
        <f>MIN(G$8,S83)+MAX(0,MIN(S83-MIN(G$8,S83),$C83-((H83-MIN(C$8,G83))+(K83-MIN(D$8,J83))+(N83-MIN(E$8,M83))+(Q83-MIN(F$8,P83)))))</f>
        <v/>
      </c>
      <c r="U83" s="23">
        <f>ROUND(S83-T83,2)</f>
        <v/>
      </c>
    </row>
    <row r="84">
      <c r="A84" t="n">
        <v>73</v>
      </c>
      <c r="B84" s="22">
        <f>EDATE(Debts!$B$5,72)</f>
        <v/>
      </c>
      <c r="C84" s="23">
        <f>MAX(0,Debts!$B$6-(MIN(C$8,G84)+MIN(D$8,J84)+MIN(E$8,M84)+MIN(F$8,P84)+MIN(G$8,S84)))</f>
        <v/>
      </c>
      <c r="D84" s="23">
        <f>H84+K84+N84+Q84+T84</f>
        <v/>
      </c>
      <c r="E84" s="23">
        <f>I84+L84+O84+R84+U84</f>
        <v/>
      </c>
      <c r="F84" s="23" t="n"/>
      <c r="G84" s="23">
        <f>ROUND(I83*(1+C$7/12),2)</f>
        <v/>
      </c>
      <c r="H84" s="23">
        <f>MIN(C$8,G84)+MAX(0,MIN(G84-MIN(C$8,G84),$C84-(0)))</f>
        <v/>
      </c>
      <c r="I84" s="23">
        <f>ROUND(G84-H84,2)</f>
        <v/>
      </c>
      <c r="J84" s="23">
        <f>ROUND(L83*(1+D$7/12),2)</f>
        <v/>
      </c>
      <c r="K84" s="23">
        <f>MIN(D$8,J84)+MAX(0,MIN(J84-MIN(D$8,J84),$C84-((H84-MIN(C$8,G84)))))</f>
        <v/>
      </c>
      <c r="L84" s="23">
        <f>ROUND(J84-K84,2)</f>
        <v/>
      </c>
      <c r="M84" s="23">
        <f>ROUND(O83*(1+E$7/12),2)</f>
        <v/>
      </c>
      <c r="N84" s="23">
        <f>MIN(E$8,M84)+MAX(0,MIN(M84-MIN(E$8,M84),$C84-((H84-MIN(C$8,G84))+(K84-MIN(D$8,J84)))))</f>
        <v/>
      </c>
      <c r="O84" s="23">
        <f>ROUND(M84-N84,2)</f>
        <v/>
      </c>
      <c r="P84" s="23">
        <f>ROUND(R83*(1+F$7/12),2)</f>
        <v/>
      </c>
      <c r="Q84" s="23">
        <f>MIN(F$8,P84)+MAX(0,MIN(P84-MIN(F$8,P84),$C84-((H84-MIN(C$8,G84))+(K84-MIN(D$8,J84))+(N84-MIN(E$8,M84)))))</f>
        <v/>
      </c>
      <c r="R84" s="23">
        <f>ROUND(P84-Q84,2)</f>
        <v/>
      </c>
      <c r="S84" s="23">
        <f>ROUND(U83*(1+G$7/12),2)</f>
        <v/>
      </c>
      <c r="T84" s="23">
        <f>MIN(G$8,S84)+MAX(0,MIN(S84-MIN(G$8,S84),$C84-((H84-MIN(C$8,G84))+(K84-MIN(D$8,J84))+(N84-MIN(E$8,M84))+(Q84-MIN(F$8,P84)))))</f>
        <v/>
      </c>
      <c r="U84" s="23">
        <f>ROUND(S84-T84,2)</f>
        <v/>
      </c>
    </row>
    <row r="85">
      <c r="A85" t="n">
        <v>74</v>
      </c>
      <c r="B85" s="22">
        <f>EDATE(Debts!$B$5,73)</f>
        <v/>
      </c>
      <c r="C85" s="23">
        <f>MAX(0,Debts!$B$6-(MIN(C$8,G85)+MIN(D$8,J85)+MIN(E$8,M85)+MIN(F$8,P85)+MIN(G$8,S85)))</f>
        <v/>
      </c>
      <c r="D85" s="23">
        <f>H85+K85+N85+Q85+T85</f>
        <v/>
      </c>
      <c r="E85" s="23">
        <f>I85+L85+O85+R85+U85</f>
        <v/>
      </c>
      <c r="F85" s="23" t="n"/>
      <c r="G85" s="23">
        <f>ROUND(I84*(1+C$7/12),2)</f>
        <v/>
      </c>
      <c r="H85" s="23">
        <f>MIN(C$8,G85)+MAX(0,MIN(G85-MIN(C$8,G85),$C85-(0)))</f>
        <v/>
      </c>
      <c r="I85" s="23">
        <f>ROUND(G85-H85,2)</f>
        <v/>
      </c>
      <c r="J85" s="23">
        <f>ROUND(L84*(1+D$7/12),2)</f>
        <v/>
      </c>
      <c r="K85" s="23">
        <f>MIN(D$8,J85)+MAX(0,MIN(J85-MIN(D$8,J85),$C85-((H85-MIN(C$8,G85)))))</f>
        <v/>
      </c>
      <c r="L85" s="23">
        <f>ROUND(J85-K85,2)</f>
        <v/>
      </c>
      <c r="M85" s="23">
        <f>ROUND(O84*(1+E$7/12),2)</f>
        <v/>
      </c>
      <c r="N85" s="23">
        <f>MIN(E$8,M85)+MAX(0,MIN(M85-MIN(E$8,M85),$C85-((H85-MIN(C$8,G85))+(K85-MIN(D$8,J85)))))</f>
        <v/>
      </c>
      <c r="O85" s="23">
        <f>ROUND(M85-N85,2)</f>
        <v/>
      </c>
      <c r="P85" s="23">
        <f>ROUND(R84*(1+F$7/12),2)</f>
        <v/>
      </c>
      <c r="Q85" s="23">
        <f>MIN(F$8,P85)+MAX(0,MIN(P85-MIN(F$8,P85),$C85-((H85-MIN(C$8,G85))+(K85-MIN(D$8,J85))+(N85-MIN(E$8,M85)))))</f>
        <v/>
      </c>
      <c r="R85" s="23">
        <f>ROUND(P85-Q85,2)</f>
        <v/>
      </c>
      <c r="S85" s="23">
        <f>ROUND(U84*(1+G$7/12),2)</f>
        <v/>
      </c>
      <c r="T85" s="23">
        <f>MIN(G$8,S85)+MAX(0,MIN(S85-MIN(G$8,S85),$C85-((H85-MIN(C$8,G85))+(K85-MIN(D$8,J85))+(N85-MIN(E$8,M85))+(Q85-MIN(F$8,P85)))))</f>
        <v/>
      </c>
      <c r="U85" s="23">
        <f>ROUND(S85-T85,2)</f>
        <v/>
      </c>
    </row>
    <row r="86">
      <c r="A86" t="n">
        <v>75</v>
      </c>
      <c r="B86" s="22">
        <f>EDATE(Debts!$B$5,74)</f>
        <v/>
      </c>
      <c r="C86" s="23">
        <f>MAX(0,Debts!$B$6-(MIN(C$8,G86)+MIN(D$8,J86)+MIN(E$8,M86)+MIN(F$8,P86)+MIN(G$8,S86)))</f>
        <v/>
      </c>
      <c r="D86" s="23">
        <f>H86+K86+N86+Q86+T86</f>
        <v/>
      </c>
      <c r="E86" s="23">
        <f>I86+L86+O86+R86+U86</f>
        <v/>
      </c>
      <c r="F86" s="23" t="n"/>
      <c r="G86" s="23">
        <f>ROUND(I85*(1+C$7/12),2)</f>
        <v/>
      </c>
      <c r="H86" s="23">
        <f>MIN(C$8,G86)+MAX(0,MIN(G86-MIN(C$8,G86),$C86-(0)))</f>
        <v/>
      </c>
      <c r="I86" s="23">
        <f>ROUND(G86-H86,2)</f>
        <v/>
      </c>
      <c r="J86" s="23">
        <f>ROUND(L85*(1+D$7/12),2)</f>
        <v/>
      </c>
      <c r="K86" s="23">
        <f>MIN(D$8,J86)+MAX(0,MIN(J86-MIN(D$8,J86),$C86-((H86-MIN(C$8,G86)))))</f>
        <v/>
      </c>
      <c r="L86" s="23">
        <f>ROUND(J86-K86,2)</f>
        <v/>
      </c>
      <c r="M86" s="23">
        <f>ROUND(O85*(1+E$7/12),2)</f>
        <v/>
      </c>
      <c r="N86" s="23">
        <f>MIN(E$8,M86)+MAX(0,MIN(M86-MIN(E$8,M86),$C86-((H86-MIN(C$8,G86))+(K86-MIN(D$8,J86)))))</f>
        <v/>
      </c>
      <c r="O86" s="23">
        <f>ROUND(M86-N86,2)</f>
        <v/>
      </c>
      <c r="P86" s="23">
        <f>ROUND(R85*(1+F$7/12),2)</f>
        <v/>
      </c>
      <c r="Q86" s="23">
        <f>MIN(F$8,P86)+MAX(0,MIN(P86-MIN(F$8,P86),$C86-((H86-MIN(C$8,G86))+(K86-MIN(D$8,J86))+(N86-MIN(E$8,M86)))))</f>
        <v/>
      </c>
      <c r="R86" s="23">
        <f>ROUND(P86-Q86,2)</f>
        <v/>
      </c>
      <c r="S86" s="23">
        <f>ROUND(U85*(1+G$7/12),2)</f>
        <v/>
      </c>
      <c r="T86" s="23">
        <f>MIN(G$8,S86)+MAX(0,MIN(S86-MIN(G$8,S86),$C86-((H86-MIN(C$8,G86))+(K86-MIN(D$8,J86))+(N86-MIN(E$8,M86))+(Q86-MIN(F$8,P86)))))</f>
        <v/>
      </c>
      <c r="U86" s="23">
        <f>ROUND(S86-T86,2)</f>
        <v/>
      </c>
    </row>
    <row r="87">
      <c r="A87" t="n">
        <v>76</v>
      </c>
      <c r="B87" s="22">
        <f>EDATE(Debts!$B$5,75)</f>
        <v/>
      </c>
      <c r="C87" s="23">
        <f>MAX(0,Debts!$B$6-(MIN(C$8,G87)+MIN(D$8,J87)+MIN(E$8,M87)+MIN(F$8,P87)+MIN(G$8,S87)))</f>
        <v/>
      </c>
      <c r="D87" s="23">
        <f>H87+K87+N87+Q87+T87</f>
        <v/>
      </c>
      <c r="E87" s="23">
        <f>I87+L87+O87+R87+U87</f>
        <v/>
      </c>
      <c r="F87" s="23" t="n"/>
      <c r="G87" s="23">
        <f>ROUND(I86*(1+C$7/12),2)</f>
        <v/>
      </c>
      <c r="H87" s="23">
        <f>MIN(C$8,G87)+MAX(0,MIN(G87-MIN(C$8,G87),$C87-(0)))</f>
        <v/>
      </c>
      <c r="I87" s="23">
        <f>ROUND(G87-H87,2)</f>
        <v/>
      </c>
      <c r="J87" s="23">
        <f>ROUND(L86*(1+D$7/12),2)</f>
        <v/>
      </c>
      <c r="K87" s="23">
        <f>MIN(D$8,J87)+MAX(0,MIN(J87-MIN(D$8,J87),$C87-((H87-MIN(C$8,G87)))))</f>
        <v/>
      </c>
      <c r="L87" s="23">
        <f>ROUND(J87-K87,2)</f>
        <v/>
      </c>
      <c r="M87" s="23">
        <f>ROUND(O86*(1+E$7/12),2)</f>
        <v/>
      </c>
      <c r="N87" s="23">
        <f>MIN(E$8,M87)+MAX(0,MIN(M87-MIN(E$8,M87),$C87-((H87-MIN(C$8,G87))+(K87-MIN(D$8,J87)))))</f>
        <v/>
      </c>
      <c r="O87" s="23">
        <f>ROUND(M87-N87,2)</f>
        <v/>
      </c>
      <c r="P87" s="23">
        <f>ROUND(R86*(1+F$7/12),2)</f>
        <v/>
      </c>
      <c r="Q87" s="23">
        <f>MIN(F$8,P87)+MAX(0,MIN(P87-MIN(F$8,P87),$C87-((H87-MIN(C$8,G87))+(K87-MIN(D$8,J87))+(N87-MIN(E$8,M87)))))</f>
        <v/>
      </c>
      <c r="R87" s="23">
        <f>ROUND(P87-Q87,2)</f>
        <v/>
      </c>
      <c r="S87" s="23">
        <f>ROUND(U86*(1+G$7/12),2)</f>
        <v/>
      </c>
      <c r="T87" s="23">
        <f>MIN(G$8,S87)+MAX(0,MIN(S87-MIN(G$8,S87),$C87-((H87-MIN(C$8,G87))+(K87-MIN(D$8,J87))+(N87-MIN(E$8,M87))+(Q87-MIN(F$8,P87)))))</f>
        <v/>
      </c>
      <c r="U87" s="23">
        <f>ROUND(S87-T87,2)</f>
        <v/>
      </c>
    </row>
    <row r="88">
      <c r="A88" t="n">
        <v>77</v>
      </c>
      <c r="B88" s="22">
        <f>EDATE(Debts!$B$5,76)</f>
        <v/>
      </c>
      <c r="C88" s="23">
        <f>MAX(0,Debts!$B$6-(MIN(C$8,G88)+MIN(D$8,J88)+MIN(E$8,M88)+MIN(F$8,P88)+MIN(G$8,S88)))</f>
        <v/>
      </c>
      <c r="D88" s="23">
        <f>H88+K88+N88+Q88+T88</f>
        <v/>
      </c>
      <c r="E88" s="23">
        <f>I88+L88+O88+R88+U88</f>
        <v/>
      </c>
      <c r="F88" s="23" t="n"/>
      <c r="G88" s="23">
        <f>ROUND(I87*(1+C$7/12),2)</f>
        <v/>
      </c>
      <c r="H88" s="23">
        <f>MIN(C$8,G88)+MAX(0,MIN(G88-MIN(C$8,G88),$C88-(0)))</f>
        <v/>
      </c>
      <c r="I88" s="23">
        <f>ROUND(G88-H88,2)</f>
        <v/>
      </c>
      <c r="J88" s="23">
        <f>ROUND(L87*(1+D$7/12),2)</f>
        <v/>
      </c>
      <c r="K88" s="23">
        <f>MIN(D$8,J88)+MAX(0,MIN(J88-MIN(D$8,J88),$C88-((H88-MIN(C$8,G88)))))</f>
        <v/>
      </c>
      <c r="L88" s="23">
        <f>ROUND(J88-K88,2)</f>
        <v/>
      </c>
      <c r="M88" s="23">
        <f>ROUND(O87*(1+E$7/12),2)</f>
        <v/>
      </c>
      <c r="N88" s="23">
        <f>MIN(E$8,M88)+MAX(0,MIN(M88-MIN(E$8,M88),$C88-((H88-MIN(C$8,G88))+(K88-MIN(D$8,J88)))))</f>
        <v/>
      </c>
      <c r="O88" s="23">
        <f>ROUND(M88-N88,2)</f>
        <v/>
      </c>
      <c r="P88" s="23">
        <f>ROUND(R87*(1+F$7/12),2)</f>
        <v/>
      </c>
      <c r="Q88" s="23">
        <f>MIN(F$8,P88)+MAX(0,MIN(P88-MIN(F$8,P88),$C88-((H88-MIN(C$8,G88))+(K88-MIN(D$8,J88))+(N88-MIN(E$8,M88)))))</f>
        <v/>
      </c>
      <c r="R88" s="23">
        <f>ROUND(P88-Q88,2)</f>
        <v/>
      </c>
      <c r="S88" s="23">
        <f>ROUND(U87*(1+G$7/12),2)</f>
        <v/>
      </c>
      <c r="T88" s="23">
        <f>MIN(G$8,S88)+MAX(0,MIN(S88-MIN(G$8,S88),$C88-((H88-MIN(C$8,G88))+(K88-MIN(D$8,J88))+(N88-MIN(E$8,M88))+(Q88-MIN(F$8,P88)))))</f>
        <v/>
      </c>
      <c r="U88" s="23">
        <f>ROUND(S88-T88,2)</f>
        <v/>
      </c>
    </row>
    <row r="89">
      <c r="A89" t="n">
        <v>78</v>
      </c>
      <c r="B89" s="22">
        <f>EDATE(Debts!$B$5,77)</f>
        <v/>
      </c>
      <c r="C89" s="23">
        <f>MAX(0,Debts!$B$6-(MIN(C$8,G89)+MIN(D$8,J89)+MIN(E$8,M89)+MIN(F$8,P89)+MIN(G$8,S89)))</f>
        <v/>
      </c>
      <c r="D89" s="23">
        <f>H89+K89+N89+Q89+T89</f>
        <v/>
      </c>
      <c r="E89" s="23">
        <f>I89+L89+O89+R89+U89</f>
        <v/>
      </c>
      <c r="F89" s="23" t="n"/>
      <c r="G89" s="23">
        <f>ROUND(I88*(1+C$7/12),2)</f>
        <v/>
      </c>
      <c r="H89" s="23">
        <f>MIN(C$8,G89)+MAX(0,MIN(G89-MIN(C$8,G89),$C89-(0)))</f>
        <v/>
      </c>
      <c r="I89" s="23">
        <f>ROUND(G89-H89,2)</f>
        <v/>
      </c>
      <c r="J89" s="23">
        <f>ROUND(L88*(1+D$7/12),2)</f>
        <v/>
      </c>
      <c r="K89" s="23">
        <f>MIN(D$8,J89)+MAX(0,MIN(J89-MIN(D$8,J89),$C89-((H89-MIN(C$8,G89)))))</f>
        <v/>
      </c>
      <c r="L89" s="23">
        <f>ROUND(J89-K89,2)</f>
        <v/>
      </c>
      <c r="M89" s="23">
        <f>ROUND(O88*(1+E$7/12),2)</f>
        <v/>
      </c>
      <c r="N89" s="23">
        <f>MIN(E$8,M89)+MAX(0,MIN(M89-MIN(E$8,M89),$C89-((H89-MIN(C$8,G89))+(K89-MIN(D$8,J89)))))</f>
        <v/>
      </c>
      <c r="O89" s="23">
        <f>ROUND(M89-N89,2)</f>
        <v/>
      </c>
      <c r="P89" s="23">
        <f>ROUND(R88*(1+F$7/12),2)</f>
        <v/>
      </c>
      <c r="Q89" s="23">
        <f>MIN(F$8,P89)+MAX(0,MIN(P89-MIN(F$8,P89),$C89-((H89-MIN(C$8,G89))+(K89-MIN(D$8,J89))+(N89-MIN(E$8,M89)))))</f>
        <v/>
      </c>
      <c r="R89" s="23">
        <f>ROUND(P89-Q89,2)</f>
        <v/>
      </c>
      <c r="S89" s="23">
        <f>ROUND(U88*(1+G$7/12),2)</f>
        <v/>
      </c>
      <c r="T89" s="23">
        <f>MIN(G$8,S89)+MAX(0,MIN(S89-MIN(G$8,S89),$C89-((H89-MIN(C$8,G89))+(K89-MIN(D$8,J89))+(N89-MIN(E$8,M89))+(Q89-MIN(F$8,P89)))))</f>
        <v/>
      </c>
      <c r="U89" s="23">
        <f>ROUND(S89-T89,2)</f>
        <v/>
      </c>
    </row>
    <row r="90">
      <c r="A90" t="n">
        <v>79</v>
      </c>
      <c r="B90" s="22">
        <f>EDATE(Debts!$B$5,78)</f>
        <v/>
      </c>
      <c r="C90" s="23">
        <f>MAX(0,Debts!$B$6-(MIN(C$8,G90)+MIN(D$8,J90)+MIN(E$8,M90)+MIN(F$8,P90)+MIN(G$8,S90)))</f>
        <v/>
      </c>
      <c r="D90" s="23">
        <f>H90+K90+N90+Q90+T90</f>
        <v/>
      </c>
      <c r="E90" s="23">
        <f>I90+L90+O90+R90+U90</f>
        <v/>
      </c>
      <c r="F90" s="23" t="n"/>
      <c r="G90" s="23">
        <f>ROUND(I89*(1+C$7/12),2)</f>
        <v/>
      </c>
      <c r="H90" s="23">
        <f>MIN(C$8,G90)+MAX(0,MIN(G90-MIN(C$8,G90),$C90-(0)))</f>
        <v/>
      </c>
      <c r="I90" s="23">
        <f>ROUND(G90-H90,2)</f>
        <v/>
      </c>
      <c r="J90" s="23">
        <f>ROUND(L89*(1+D$7/12),2)</f>
        <v/>
      </c>
      <c r="K90" s="23">
        <f>MIN(D$8,J90)+MAX(0,MIN(J90-MIN(D$8,J90),$C90-((H90-MIN(C$8,G90)))))</f>
        <v/>
      </c>
      <c r="L90" s="23">
        <f>ROUND(J90-K90,2)</f>
        <v/>
      </c>
      <c r="M90" s="23">
        <f>ROUND(O89*(1+E$7/12),2)</f>
        <v/>
      </c>
      <c r="N90" s="23">
        <f>MIN(E$8,M90)+MAX(0,MIN(M90-MIN(E$8,M90),$C90-((H90-MIN(C$8,G90))+(K90-MIN(D$8,J90)))))</f>
        <v/>
      </c>
      <c r="O90" s="23">
        <f>ROUND(M90-N90,2)</f>
        <v/>
      </c>
      <c r="P90" s="23">
        <f>ROUND(R89*(1+F$7/12),2)</f>
        <v/>
      </c>
      <c r="Q90" s="23">
        <f>MIN(F$8,P90)+MAX(0,MIN(P90-MIN(F$8,P90),$C90-((H90-MIN(C$8,G90))+(K90-MIN(D$8,J90))+(N90-MIN(E$8,M90)))))</f>
        <v/>
      </c>
      <c r="R90" s="23">
        <f>ROUND(P90-Q90,2)</f>
        <v/>
      </c>
      <c r="S90" s="23">
        <f>ROUND(U89*(1+G$7/12),2)</f>
        <v/>
      </c>
      <c r="T90" s="23">
        <f>MIN(G$8,S90)+MAX(0,MIN(S90-MIN(G$8,S90),$C90-((H90-MIN(C$8,G90))+(K90-MIN(D$8,J90))+(N90-MIN(E$8,M90))+(Q90-MIN(F$8,P90)))))</f>
        <v/>
      </c>
      <c r="U90" s="23">
        <f>ROUND(S90-T90,2)</f>
        <v/>
      </c>
    </row>
    <row r="91">
      <c r="A91" t="n">
        <v>80</v>
      </c>
      <c r="B91" s="22">
        <f>EDATE(Debts!$B$5,79)</f>
        <v/>
      </c>
      <c r="C91" s="23">
        <f>MAX(0,Debts!$B$6-(MIN(C$8,G91)+MIN(D$8,J91)+MIN(E$8,M91)+MIN(F$8,P91)+MIN(G$8,S91)))</f>
        <v/>
      </c>
      <c r="D91" s="23">
        <f>H91+K91+N91+Q91+T91</f>
        <v/>
      </c>
      <c r="E91" s="23">
        <f>I91+L91+O91+R91+U91</f>
        <v/>
      </c>
      <c r="F91" s="23" t="n"/>
      <c r="G91" s="23">
        <f>ROUND(I90*(1+C$7/12),2)</f>
        <v/>
      </c>
      <c r="H91" s="23">
        <f>MIN(C$8,G91)+MAX(0,MIN(G91-MIN(C$8,G91),$C91-(0)))</f>
        <v/>
      </c>
      <c r="I91" s="23">
        <f>ROUND(G91-H91,2)</f>
        <v/>
      </c>
      <c r="J91" s="23">
        <f>ROUND(L90*(1+D$7/12),2)</f>
        <v/>
      </c>
      <c r="K91" s="23">
        <f>MIN(D$8,J91)+MAX(0,MIN(J91-MIN(D$8,J91),$C91-((H91-MIN(C$8,G91)))))</f>
        <v/>
      </c>
      <c r="L91" s="23">
        <f>ROUND(J91-K91,2)</f>
        <v/>
      </c>
      <c r="M91" s="23">
        <f>ROUND(O90*(1+E$7/12),2)</f>
        <v/>
      </c>
      <c r="N91" s="23">
        <f>MIN(E$8,M91)+MAX(0,MIN(M91-MIN(E$8,M91),$C91-((H91-MIN(C$8,G91))+(K91-MIN(D$8,J91)))))</f>
        <v/>
      </c>
      <c r="O91" s="23">
        <f>ROUND(M91-N91,2)</f>
        <v/>
      </c>
      <c r="P91" s="23">
        <f>ROUND(R90*(1+F$7/12),2)</f>
        <v/>
      </c>
      <c r="Q91" s="23">
        <f>MIN(F$8,P91)+MAX(0,MIN(P91-MIN(F$8,P91),$C91-((H91-MIN(C$8,G91))+(K91-MIN(D$8,J91))+(N91-MIN(E$8,M91)))))</f>
        <v/>
      </c>
      <c r="R91" s="23">
        <f>ROUND(P91-Q91,2)</f>
        <v/>
      </c>
      <c r="S91" s="23">
        <f>ROUND(U90*(1+G$7/12),2)</f>
        <v/>
      </c>
      <c r="T91" s="23">
        <f>MIN(G$8,S91)+MAX(0,MIN(S91-MIN(G$8,S91),$C91-((H91-MIN(C$8,G91))+(K91-MIN(D$8,J91))+(N91-MIN(E$8,M91))+(Q91-MIN(F$8,P91)))))</f>
        <v/>
      </c>
      <c r="U91" s="23">
        <f>ROUND(S91-T91,2)</f>
        <v/>
      </c>
    </row>
    <row r="92">
      <c r="A92" t="n">
        <v>81</v>
      </c>
      <c r="B92" s="22">
        <f>EDATE(Debts!$B$5,80)</f>
        <v/>
      </c>
      <c r="C92" s="23">
        <f>MAX(0,Debts!$B$6-(MIN(C$8,G92)+MIN(D$8,J92)+MIN(E$8,M92)+MIN(F$8,P92)+MIN(G$8,S92)))</f>
        <v/>
      </c>
      <c r="D92" s="23">
        <f>H92+K92+N92+Q92+T92</f>
        <v/>
      </c>
      <c r="E92" s="23">
        <f>I92+L92+O92+R92+U92</f>
        <v/>
      </c>
      <c r="F92" s="23" t="n"/>
      <c r="G92" s="23">
        <f>ROUND(I91*(1+C$7/12),2)</f>
        <v/>
      </c>
      <c r="H92" s="23">
        <f>MIN(C$8,G92)+MAX(0,MIN(G92-MIN(C$8,G92),$C92-(0)))</f>
        <v/>
      </c>
      <c r="I92" s="23">
        <f>ROUND(G92-H92,2)</f>
        <v/>
      </c>
      <c r="J92" s="23">
        <f>ROUND(L91*(1+D$7/12),2)</f>
        <v/>
      </c>
      <c r="K92" s="23">
        <f>MIN(D$8,J92)+MAX(0,MIN(J92-MIN(D$8,J92),$C92-((H92-MIN(C$8,G92)))))</f>
        <v/>
      </c>
      <c r="L92" s="23">
        <f>ROUND(J92-K92,2)</f>
        <v/>
      </c>
      <c r="M92" s="23">
        <f>ROUND(O91*(1+E$7/12),2)</f>
        <v/>
      </c>
      <c r="N92" s="23">
        <f>MIN(E$8,M92)+MAX(0,MIN(M92-MIN(E$8,M92),$C92-((H92-MIN(C$8,G92))+(K92-MIN(D$8,J92)))))</f>
        <v/>
      </c>
      <c r="O92" s="23">
        <f>ROUND(M92-N92,2)</f>
        <v/>
      </c>
      <c r="P92" s="23">
        <f>ROUND(R91*(1+F$7/12),2)</f>
        <v/>
      </c>
      <c r="Q92" s="23">
        <f>MIN(F$8,P92)+MAX(0,MIN(P92-MIN(F$8,P92),$C92-((H92-MIN(C$8,G92))+(K92-MIN(D$8,J92))+(N92-MIN(E$8,M92)))))</f>
        <v/>
      </c>
      <c r="R92" s="23">
        <f>ROUND(P92-Q92,2)</f>
        <v/>
      </c>
      <c r="S92" s="23">
        <f>ROUND(U91*(1+G$7/12),2)</f>
        <v/>
      </c>
      <c r="T92" s="23">
        <f>MIN(G$8,S92)+MAX(0,MIN(S92-MIN(G$8,S92),$C92-((H92-MIN(C$8,G92))+(K92-MIN(D$8,J92))+(N92-MIN(E$8,M92))+(Q92-MIN(F$8,P92)))))</f>
        <v/>
      </c>
      <c r="U92" s="23">
        <f>ROUND(S92-T92,2)</f>
        <v/>
      </c>
    </row>
    <row r="93">
      <c r="A93" t="n">
        <v>82</v>
      </c>
      <c r="B93" s="22">
        <f>EDATE(Debts!$B$5,81)</f>
        <v/>
      </c>
      <c r="C93" s="23">
        <f>MAX(0,Debts!$B$6-(MIN(C$8,G93)+MIN(D$8,J93)+MIN(E$8,M93)+MIN(F$8,P93)+MIN(G$8,S93)))</f>
        <v/>
      </c>
      <c r="D93" s="23">
        <f>H93+K93+N93+Q93+T93</f>
        <v/>
      </c>
      <c r="E93" s="23">
        <f>I93+L93+O93+R93+U93</f>
        <v/>
      </c>
      <c r="F93" s="23" t="n"/>
      <c r="G93" s="23">
        <f>ROUND(I92*(1+C$7/12),2)</f>
        <v/>
      </c>
      <c r="H93" s="23">
        <f>MIN(C$8,G93)+MAX(0,MIN(G93-MIN(C$8,G93),$C93-(0)))</f>
        <v/>
      </c>
      <c r="I93" s="23">
        <f>ROUND(G93-H93,2)</f>
        <v/>
      </c>
      <c r="J93" s="23">
        <f>ROUND(L92*(1+D$7/12),2)</f>
        <v/>
      </c>
      <c r="K93" s="23">
        <f>MIN(D$8,J93)+MAX(0,MIN(J93-MIN(D$8,J93),$C93-((H93-MIN(C$8,G93)))))</f>
        <v/>
      </c>
      <c r="L93" s="23">
        <f>ROUND(J93-K93,2)</f>
        <v/>
      </c>
      <c r="M93" s="23">
        <f>ROUND(O92*(1+E$7/12),2)</f>
        <v/>
      </c>
      <c r="N93" s="23">
        <f>MIN(E$8,M93)+MAX(0,MIN(M93-MIN(E$8,M93),$C93-((H93-MIN(C$8,G93))+(K93-MIN(D$8,J93)))))</f>
        <v/>
      </c>
      <c r="O93" s="23">
        <f>ROUND(M93-N93,2)</f>
        <v/>
      </c>
      <c r="P93" s="23">
        <f>ROUND(R92*(1+F$7/12),2)</f>
        <v/>
      </c>
      <c r="Q93" s="23">
        <f>MIN(F$8,P93)+MAX(0,MIN(P93-MIN(F$8,P93),$C93-((H93-MIN(C$8,G93))+(K93-MIN(D$8,J93))+(N93-MIN(E$8,M93)))))</f>
        <v/>
      </c>
      <c r="R93" s="23">
        <f>ROUND(P93-Q93,2)</f>
        <v/>
      </c>
      <c r="S93" s="23">
        <f>ROUND(U92*(1+G$7/12),2)</f>
        <v/>
      </c>
      <c r="T93" s="23">
        <f>MIN(G$8,S93)+MAX(0,MIN(S93-MIN(G$8,S93),$C93-((H93-MIN(C$8,G93))+(K93-MIN(D$8,J93))+(N93-MIN(E$8,M93))+(Q93-MIN(F$8,P93)))))</f>
        <v/>
      </c>
      <c r="U93" s="23">
        <f>ROUND(S93-T93,2)</f>
        <v/>
      </c>
    </row>
    <row r="94">
      <c r="A94" t="n">
        <v>83</v>
      </c>
      <c r="B94" s="22">
        <f>EDATE(Debts!$B$5,82)</f>
        <v/>
      </c>
      <c r="C94" s="23">
        <f>MAX(0,Debts!$B$6-(MIN(C$8,G94)+MIN(D$8,J94)+MIN(E$8,M94)+MIN(F$8,P94)+MIN(G$8,S94)))</f>
        <v/>
      </c>
      <c r="D94" s="23">
        <f>H94+K94+N94+Q94+T94</f>
        <v/>
      </c>
      <c r="E94" s="23">
        <f>I94+L94+O94+R94+U94</f>
        <v/>
      </c>
      <c r="F94" s="23" t="n"/>
      <c r="G94" s="23">
        <f>ROUND(I93*(1+C$7/12),2)</f>
        <v/>
      </c>
      <c r="H94" s="23">
        <f>MIN(C$8,G94)+MAX(0,MIN(G94-MIN(C$8,G94),$C94-(0)))</f>
        <v/>
      </c>
      <c r="I94" s="23">
        <f>ROUND(G94-H94,2)</f>
        <v/>
      </c>
      <c r="J94" s="23">
        <f>ROUND(L93*(1+D$7/12),2)</f>
        <v/>
      </c>
      <c r="K94" s="23">
        <f>MIN(D$8,J94)+MAX(0,MIN(J94-MIN(D$8,J94),$C94-((H94-MIN(C$8,G94)))))</f>
        <v/>
      </c>
      <c r="L94" s="23">
        <f>ROUND(J94-K94,2)</f>
        <v/>
      </c>
      <c r="M94" s="23">
        <f>ROUND(O93*(1+E$7/12),2)</f>
        <v/>
      </c>
      <c r="N94" s="23">
        <f>MIN(E$8,M94)+MAX(0,MIN(M94-MIN(E$8,M94),$C94-((H94-MIN(C$8,G94))+(K94-MIN(D$8,J94)))))</f>
        <v/>
      </c>
      <c r="O94" s="23">
        <f>ROUND(M94-N94,2)</f>
        <v/>
      </c>
      <c r="P94" s="23">
        <f>ROUND(R93*(1+F$7/12),2)</f>
        <v/>
      </c>
      <c r="Q94" s="23">
        <f>MIN(F$8,P94)+MAX(0,MIN(P94-MIN(F$8,P94),$C94-((H94-MIN(C$8,G94))+(K94-MIN(D$8,J94))+(N94-MIN(E$8,M94)))))</f>
        <v/>
      </c>
      <c r="R94" s="23">
        <f>ROUND(P94-Q94,2)</f>
        <v/>
      </c>
      <c r="S94" s="23">
        <f>ROUND(U93*(1+G$7/12),2)</f>
        <v/>
      </c>
      <c r="T94" s="23">
        <f>MIN(G$8,S94)+MAX(0,MIN(S94-MIN(G$8,S94),$C94-((H94-MIN(C$8,G94))+(K94-MIN(D$8,J94))+(N94-MIN(E$8,M94))+(Q94-MIN(F$8,P94)))))</f>
        <v/>
      </c>
      <c r="U94" s="23">
        <f>ROUND(S94-T94,2)</f>
        <v/>
      </c>
    </row>
    <row r="95">
      <c r="A95" t="n">
        <v>84</v>
      </c>
      <c r="B95" s="22">
        <f>EDATE(Debts!$B$5,83)</f>
        <v/>
      </c>
      <c r="C95" s="23">
        <f>MAX(0,Debts!$B$6-(MIN(C$8,G95)+MIN(D$8,J95)+MIN(E$8,M95)+MIN(F$8,P95)+MIN(G$8,S95)))</f>
        <v/>
      </c>
      <c r="D95" s="23">
        <f>H95+K95+N95+Q95+T95</f>
        <v/>
      </c>
      <c r="E95" s="23">
        <f>I95+L95+O95+R95+U95</f>
        <v/>
      </c>
      <c r="F95" s="23" t="n"/>
      <c r="G95" s="23">
        <f>ROUND(I94*(1+C$7/12),2)</f>
        <v/>
      </c>
      <c r="H95" s="23">
        <f>MIN(C$8,G95)+MAX(0,MIN(G95-MIN(C$8,G95),$C95-(0)))</f>
        <v/>
      </c>
      <c r="I95" s="23">
        <f>ROUND(G95-H95,2)</f>
        <v/>
      </c>
      <c r="J95" s="23">
        <f>ROUND(L94*(1+D$7/12),2)</f>
        <v/>
      </c>
      <c r="K95" s="23">
        <f>MIN(D$8,J95)+MAX(0,MIN(J95-MIN(D$8,J95),$C95-((H95-MIN(C$8,G95)))))</f>
        <v/>
      </c>
      <c r="L95" s="23">
        <f>ROUND(J95-K95,2)</f>
        <v/>
      </c>
      <c r="M95" s="23">
        <f>ROUND(O94*(1+E$7/12),2)</f>
        <v/>
      </c>
      <c r="N95" s="23">
        <f>MIN(E$8,M95)+MAX(0,MIN(M95-MIN(E$8,M95),$C95-((H95-MIN(C$8,G95))+(K95-MIN(D$8,J95)))))</f>
        <v/>
      </c>
      <c r="O95" s="23">
        <f>ROUND(M95-N95,2)</f>
        <v/>
      </c>
      <c r="P95" s="23">
        <f>ROUND(R94*(1+F$7/12),2)</f>
        <v/>
      </c>
      <c r="Q95" s="23">
        <f>MIN(F$8,P95)+MAX(0,MIN(P95-MIN(F$8,P95),$C95-((H95-MIN(C$8,G95))+(K95-MIN(D$8,J95))+(N95-MIN(E$8,M95)))))</f>
        <v/>
      </c>
      <c r="R95" s="23">
        <f>ROUND(P95-Q95,2)</f>
        <v/>
      </c>
      <c r="S95" s="23">
        <f>ROUND(U94*(1+G$7/12),2)</f>
        <v/>
      </c>
      <c r="T95" s="23">
        <f>MIN(G$8,S95)+MAX(0,MIN(S95-MIN(G$8,S95),$C95-((H95-MIN(C$8,G95))+(K95-MIN(D$8,J95))+(N95-MIN(E$8,M95))+(Q95-MIN(F$8,P95)))))</f>
        <v/>
      </c>
      <c r="U95" s="23">
        <f>ROUND(S95-T95,2)</f>
        <v/>
      </c>
    </row>
    <row r="96">
      <c r="A96" t="n">
        <v>85</v>
      </c>
      <c r="B96" s="22">
        <f>EDATE(Debts!$B$5,84)</f>
        <v/>
      </c>
      <c r="C96" s="23">
        <f>MAX(0,Debts!$B$6-(MIN(C$8,G96)+MIN(D$8,J96)+MIN(E$8,M96)+MIN(F$8,P96)+MIN(G$8,S96)))</f>
        <v/>
      </c>
      <c r="D96" s="23">
        <f>H96+K96+N96+Q96+T96</f>
        <v/>
      </c>
      <c r="E96" s="23">
        <f>I96+L96+O96+R96+U96</f>
        <v/>
      </c>
      <c r="F96" s="23" t="n"/>
      <c r="G96" s="23">
        <f>ROUND(I95*(1+C$7/12),2)</f>
        <v/>
      </c>
      <c r="H96" s="23">
        <f>MIN(C$8,G96)+MAX(0,MIN(G96-MIN(C$8,G96),$C96-(0)))</f>
        <v/>
      </c>
      <c r="I96" s="23">
        <f>ROUND(G96-H96,2)</f>
        <v/>
      </c>
      <c r="J96" s="23">
        <f>ROUND(L95*(1+D$7/12),2)</f>
        <v/>
      </c>
      <c r="K96" s="23">
        <f>MIN(D$8,J96)+MAX(0,MIN(J96-MIN(D$8,J96),$C96-((H96-MIN(C$8,G96)))))</f>
        <v/>
      </c>
      <c r="L96" s="23">
        <f>ROUND(J96-K96,2)</f>
        <v/>
      </c>
      <c r="M96" s="23">
        <f>ROUND(O95*(1+E$7/12),2)</f>
        <v/>
      </c>
      <c r="N96" s="23">
        <f>MIN(E$8,M96)+MAX(0,MIN(M96-MIN(E$8,M96),$C96-((H96-MIN(C$8,G96))+(K96-MIN(D$8,J96)))))</f>
        <v/>
      </c>
      <c r="O96" s="23">
        <f>ROUND(M96-N96,2)</f>
        <v/>
      </c>
      <c r="P96" s="23">
        <f>ROUND(R95*(1+F$7/12),2)</f>
        <v/>
      </c>
      <c r="Q96" s="23">
        <f>MIN(F$8,P96)+MAX(0,MIN(P96-MIN(F$8,P96),$C96-((H96-MIN(C$8,G96))+(K96-MIN(D$8,J96))+(N96-MIN(E$8,M96)))))</f>
        <v/>
      </c>
      <c r="R96" s="23">
        <f>ROUND(P96-Q96,2)</f>
        <v/>
      </c>
      <c r="S96" s="23">
        <f>ROUND(U95*(1+G$7/12),2)</f>
        <v/>
      </c>
      <c r="T96" s="23">
        <f>MIN(G$8,S96)+MAX(0,MIN(S96-MIN(G$8,S96),$C96-((H96-MIN(C$8,G96))+(K96-MIN(D$8,J96))+(N96-MIN(E$8,M96))+(Q96-MIN(F$8,P96)))))</f>
        <v/>
      </c>
      <c r="U96" s="23">
        <f>ROUND(S96-T96,2)</f>
        <v/>
      </c>
    </row>
    <row r="97">
      <c r="A97" t="n">
        <v>86</v>
      </c>
      <c r="B97" s="22">
        <f>EDATE(Debts!$B$5,85)</f>
        <v/>
      </c>
      <c r="C97" s="23">
        <f>MAX(0,Debts!$B$6-(MIN(C$8,G97)+MIN(D$8,J97)+MIN(E$8,M97)+MIN(F$8,P97)+MIN(G$8,S97)))</f>
        <v/>
      </c>
      <c r="D97" s="23">
        <f>H97+K97+N97+Q97+T97</f>
        <v/>
      </c>
      <c r="E97" s="23">
        <f>I97+L97+O97+R97+U97</f>
        <v/>
      </c>
      <c r="F97" s="23" t="n"/>
      <c r="G97" s="23">
        <f>ROUND(I96*(1+C$7/12),2)</f>
        <v/>
      </c>
      <c r="H97" s="23">
        <f>MIN(C$8,G97)+MAX(0,MIN(G97-MIN(C$8,G97),$C97-(0)))</f>
        <v/>
      </c>
      <c r="I97" s="23">
        <f>ROUND(G97-H97,2)</f>
        <v/>
      </c>
      <c r="J97" s="23">
        <f>ROUND(L96*(1+D$7/12),2)</f>
        <v/>
      </c>
      <c r="K97" s="23">
        <f>MIN(D$8,J97)+MAX(0,MIN(J97-MIN(D$8,J97),$C97-((H97-MIN(C$8,G97)))))</f>
        <v/>
      </c>
      <c r="L97" s="23">
        <f>ROUND(J97-K97,2)</f>
        <v/>
      </c>
      <c r="M97" s="23">
        <f>ROUND(O96*(1+E$7/12),2)</f>
        <v/>
      </c>
      <c r="N97" s="23">
        <f>MIN(E$8,M97)+MAX(0,MIN(M97-MIN(E$8,M97),$C97-((H97-MIN(C$8,G97))+(K97-MIN(D$8,J97)))))</f>
        <v/>
      </c>
      <c r="O97" s="23">
        <f>ROUND(M97-N97,2)</f>
        <v/>
      </c>
      <c r="P97" s="23">
        <f>ROUND(R96*(1+F$7/12),2)</f>
        <v/>
      </c>
      <c r="Q97" s="23">
        <f>MIN(F$8,P97)+MAX(0,MIN(P97-MIN(F$8,P97),$C97-((H97-MIN(C$8,G97))+(K97-MIN(D$8,J97))+(N97-MIN(E$8,M97)))))</f>
        <v/>
      </c>
      <c r="R97" s="23">
        <f>ROUND(P97-Q97,2)</f>
        <v/>
      </c>
      <c r="S97" s="23">
        <f>ROUND(U96*(1+G$7/12),2)</f>
        <v/>
      </c>
      <c r="T97" s="23">
        <f>MIN(G$8,S97)+MAX(0,MIN(S97-MIN(G$8,S97),$C97-((H97-MIN(C$8,G97))+(K97-MIN(D$8,J97))+(N97-MIN(E$8,M97))+(Q97-MIN(F$8,P97)))))</f>
        <v/>
      </c>
      <c r="U97" s="23">
        <f>ROUND(S97-T97,2)</f>
        <v/>
      </c>
    </row>
    <row r="98">
      <c r="A98" t="n">
        <v>87</v>
      </c>
      <c r="B98" s="22">
        <f>EDATE(Debts!$B$5,86)</f>
        <v/>
      </c>
      <c r="C98" s="23">
        <f>MAX(0,Debts!$B$6-(MIN(C$8,G98)+MIN(D$8,J98)+MIN(E$8,M98)+MIN(F$8,P98)+MIN(G$8,S98)))</f>
        <v/>
      </c>
      <c r="D98" s="23">
        <f>H98+K98+N98+Q98+T98</f>
        <v/>
      </c>
      <c r="E98" s="23">
        <f>I98+L98+O98+R98+U98</f>
        <v/>
      </c>
      <c r="F98" s="23" t="n"/>
      <c r="G98" s="23">
        <f>ROUND(I97*(1+C$7/12),2)</f>
        <v/>
      </c>
      <c r="H98" s="23">
        <f>MIN(C$8,G98)+MAX(0,MIN(G98-MIN(C$8,G98),$C98-(0)))</f>
        <v/>
      </c>
      <c r="I98" s="23">
        <f>ROUND(G98-H98,2)</f>
        <v/>
      </c>
      <c r="J98" s="23">
        <f>ROUND(L97*(1+D$7/12),2)</f>
        <v/>
      </c>
      <c r="K98" s="23">
        <f>MIN(D$8,J98)+MAX(0,MIN(J98-MIN(D$8,J98),$C98-((H98-MIN(C$8,G98)))))</f>
        <v/>
      </c>
      <c r="L98" s="23">
        <f>ROUND(J98-K98,2)</f>
        <v/>
      </c>
      <c r="M98" s="23">
        <f>ROUND(O97*(1+E$7/12),2)</f>
        <v/>
      </c>
      <c r="N98" s="23">
        <f>MIN(E$8,M98)+MAX(0,MIN(M98-MIN(E$8,M98),$C98-((H98-MIN(C$8,G98))+(K98-MIN(D$8,J98)))))</f>
        <v/>
      </c>
      <c r="O98" s="23">
        <f>ROUND(M98-N98,2)</f>
        <v/>
      </c>
      <c r="P98" s="23">
        <f>ROUND(R97*(1+F$7/12),2)</f>
        <v/>
      </c>
      <c r="Q98" s="23">
        <f>MIN(F$8,P98)+MAX(0,MIN(P98-MIN(F$8,P98),$C98-((H98-MIN(C$8,G98))+(K98-MIN(D$8,J98))+(N98-MIN(E$8,M98)))))</f>
        <v/>
      </c>
      <c r="R98" s="23">
        <f>ROUND(P98-Q98,2)</f>
        <v/>
      </c>
      <c r="S98" s="23">
        <f>ROUND(U97*(1+G$7/12),2)</f>
        <v/>
      </c>
      <c r="T98" s="23">
        <f>MIN(G$8,S98)+MAX(0,MIN(S98-MIN(G$8,S98),$C98-((H98-MIN(C$8,G98))+(K98-MIN(D$8,J98))+(N98-MIN(E$8,M98))+(Q98-MIN(F$8,P98)))))</f>
        <v/>
      </c>
      <c r="U98" s="23">
        <f>ROUND(S98-T98,2)</f>
        <v/>
      </c>
    </row>
    <row r="99">
      <c r="A99" t="n">
        <v>88</v>
      </c>
      <c r="B99" s="22">
        <f>EDATE(Debts!$B$5,87)</f>
        <v/>
      </c>
      <c r="C99" s="23">
        <f>MAX(0,Debts!$B$6-(MIN(C$8,G99)+MIN(D$8,J99)+MIN(E$8,M99)+MIN(F$8,P99)+MIN(G$8,S99)))</f>
        <v/>
      </c>
      <c r="D99" s="23">
        <f>H99+K99+N99+Q99+T99</f>
        <v/>
      </c>
      <c r="E99" s="23">
        <f>I99+L99+O99+R99+U99</f>
        <v/>
      </c>
      <c r="F99" s="23" t="n"/>
      <c r="G99" s="23">
        <f>ROUND(I98*(1+C$7/12),2)</f>
        <v/>
      </c>
      <c r="H99" s="23">
        <f>MIN(C$8,G99)+MAX(0,MIN(G99-MIN(C$8,G99),$C99-(0)))</f>
        <v/>
      </c>
      <c r="I99" s="23">
        <f>ROUND(G99-H99,2)</f>
        <v/>
      </c>
      <c r="J99" s="23">
        <f>ROUND(L98*(1+D$7/12),2)</f>
        <v/>
      </c>
      <c r="K99" s="23">
        <f>MIN(D$8,J99)+MAX(0,MIN(J99-MIN(D$8,J99),$C99-((H99-MIN(C$8,G99)))))</f>
        <v/>
      </c>
      <c r="L99" s="23">
        <f>ROUND(J99-K99,2)</f>
        <v/>
      </c>
      <c r="M99" s="23">
        <f>ROUND(O98*(1+E$7/12),2)</f>
        <v/>
      </c>
      <c r="N99" s="23">
        <f>MIN(E$8,M99)+MAX(0,MIN(M99-MIN(E$8,M99),$C99-((H99-MIN(C$8,G99))+(K99-MIN(D$8,J99)))))</f>
        <v/>
      </c>
      <c r="O99" s="23">
        <f>ROUND(M99-N99,2)</f>
        <v/>
      </c>
      <c r="P99" s="23">
        <f>ROUND(R98*(1+F$7/12),2)</f>
        <v/>
      </c>
      <c r="Q99" s="23">
        <f>MIN(F$8,P99)+MAX(0,MIN(P99-MIN(F$8,P99),$C99-((H99-MIN(C$8,G99))+(K99-MIN(D$8,J99))+(N99-MIN(E$8,M99)))))</f>
        <v/>
      </c>
      <c r="R99" s="23">
        <f>ROUND(P99-Q99,2)</f>
        <v/>
      </c>
      <c r="S99" s="23">
        <f>ROUND(U98*(1+G$7/12),2)</f>
        <v/>
      </c>
      <c r="T99" s="23">
        <f>MIN(G$8,S99)+MAX(0,MIN(S99-MIN(G$8,S99),$C99-((H99-MIN(C$8,G99))+(K99-MIN(D$8,J99))+(N99-MIN(E$8,M99))+(Q99-MIN(F$8,P99)))))</f>
        <v/>
      </c>
      <c r="U99" s="23">
        <f>ROUND(S99-T99,2)</f>
        <v/>
      </c>
    </row>
    <row r="100">
      <c r="A100" t="n">
        <v>89</v>
      </c>
      <c r="B100" s="22">
        <f>EDATE(Debts!$B$5,88)</f>
        <v/>
      </c>
      <c r="C100" s="23">
        <f>MAX(0,Debts!$B$6-(MIN(C$8,G100)+MIN(D$8,J100)+MIN(E$8,M100)+MIN(F$8,P100)+MIN(G$8,S100)))</f>
        <v/>
      </c>
      <c r="D100" s="23">
        <f>H100+K100+N100+Q100+T100</f>
        <v/>
      </c>
      <c r="E100" s="23">
        <f>I100+L100+O100+R100+U100</f>
        <v/>
      </c>
      <c r="F100" s="23" t="n"/>
      <c r="G100" s="23">
        <f>ROUND(I99*(1+C$7/12),2)</f>
        <v/>
      </c>
      <c r="H100" s="23">
        <f>MIN(C$8,G100)+MAX(0,MIN(G100-MIN(C$8,G100),$C100-(0)))</f>
        <v/>
      </c>
      <c r="I100" s="23">
        <f>ROUND(G100-H100,2)</f>
        <v/>
      </c>
      <c r="J100" s="23">
        <f>ROUND(L99*(1+D$7/12),2)</f>
        <v/>
      </c>
      <c r="K100" s="23">
        <f>MIN(D$8,J100)+MAX(0,MIN(J100-MIN(D$8,J100),$C100-((H100-MIN(C$8,G100)))))</f>
        <v/>
      </c>
      <c r="L100" s="23">
        <f>ROUND(J100-K100,2)</f>
        <v/>
      </c>
      <c r="M100" s="23">
        <f>ROUND(O99*(1+E$7/12),2)</f>
        <v/>
      </c>
      <c r="N100" s="23">
        <f>MIN(E$8,M100)+MAX(0,MIN(M100-MIN(E$8,M100),$C100-((H100-MIN(C$8,G100))+(K100-MIN(D$8,J100)))))</f>
        <v/>
      </c>
      <c r="O100" s="23">
        <f>ROUND(M100-N100,2)</f>
        <v/>
      </c>
      <c r="P100" s="23">
        <f>ROUND(R99*(1+F$7/12),2)</f>
        <v/>
      </c>
      <c r="Q100" s="23">
        <f>MIN(F$8,P100)+MAX(0,MIN(P100-MIN(F$8,P100),$C100-((H100-MIN(C$8,G100))+(K100-MIN(D$8,J100))+(N100-MIN(E$8,M100)))))</f>
        <v/>
      </c>
      <c r="R100" s="23">
        <f>ROUND(P100-Q100,2)</f>
        <v/>
      </c>
      <c r="S100" s="23">
        <f>ROUND(U99*(1+G$7/12),2)</f>
        <v/>
      </c>
      <c r="T100" s="23">
        <f>MIN(G$8,S100)+MAX(0,MIN(S100-MIN(G$8,S100),$C100-((H100-MIN(C$8,G100))+(K100-MIN(D$8,J100))+(N100-MIN(E$8,M100))+(Q100-MIN(F$8,P100)))))</f>
        <v/>
      </c>
      <c r="U100" s="23">
        <f>ROUND(S100-T100,2)</f>
        <v/>
      </c>
    </row>
    <row r="101">
      <c r="A101" t="n">
        <v>90</v>
      </c>
      <c r="B101" s="22">
        <f>EDATE(Debts!$B$5,89)</f>
        <v/>
      </c>
      <c r="C101" s="23">
        <f>MAX(0,Debts!$B$6-(MIN(C$8,G101)+MIN(D$8,J101)+MIN(E$8,M101)+MIN(F$8,P101)+MIN(G$8,S101)))</f>
        <v/>
      </c>
      <c r="D101" s="23">
        <f>H101+K101+N101+Q101+T101</f>
        <v/>
      </c>
      <c r="E101" s="23">
        <f>I101+L101+O101+R101+U101</f>
        <v/>
      </c>
      <c r="F101" s="23" t="n"/>
      <c r="G101" s="23">
        <f>ROUND(I100*(1+C$7/12),2)</f>
        <v/>
      </c>
      <c r="H101" s="23">
        <f>MIN(C$8,G101)+MAX(0,MIN(G101-MIN(C$8,G101),$C101-(0)))</f>
        <v/>
      </c>
      <c r="I101" s="23">
        <f>ROUND(G101-H101,2)</f>
        <v/>
      </c>
      <c r="J101" s="23">
        <f>ROUND(L100*(1+D$7/12),2)</f>
        <v/>
      </c>
      <c r="K101" s="23">
        <f>MIN(D$8,J101)+MAX(0,MIN(J101-MIN(D$8,J101),$C101-((H101-MIN(C$8,G101)))))</f>
        <v/>
      </c>
      <c r="L101" s="23">
        <f>ROUND(J101-K101,2)</f>
        <v/>
      </c>
      <c r="M101" s="23">
        <f>ROUND(O100*(1+E$7/12),2)</f>
        <v/>
      </c>
      <c r="N101" s="23">
        <f>MIN(E$8,M101)+MAX(0,MIN(M101-MIN(E$8,M101),$C101-((H101-MIN(C$8,G101))+(K101-MIN(D$8,J101)))))</f>
        <v/>
      </c>
      <c r="O101" s="23">
        <f>ROUND(M101-N101,2)</f>
        <v/>
      </c>
      <c r="P101" s="23">
        <f>ROUND(R100*(1+F$7/12),2)</f>
        <v/>
      </c>
      <c r="Q101" s="23">
        <f>MIN(F$8,P101)+MAX(0,MIN(P101-MIN(F$8,P101),$C101-((H101-MIN(C$8,G101))+(K101-MIN(D$8,J101))+(N101-MIN(E$8,M101)))))</f>
        <v/>
      </c>
      <c r="R101" s="23">
        <f>ROUND(P101-Q101,2)</f>
        <v/>
      </c>
      <c r="S101" s="23">
        <f>ROUND(U100*(1+G$7/12),2)</f>
        <v/>
      </c>
      <c r="T101" s="23">
        <f>MIN(G$8,S101)+MAX(0,MIN(S101-MIN(G$8,S101),$C101-((H101-MIN(C$8,G101))+(K101-MIN(D$8,J101))+(N101-MIN(E$8,M101))+(Q101-MIN(F$8,P101)))))</f>
        <v/>
      </c>
      <c r="U101" s="23">
        <f>ROUND(S101-T101,2)</f>
        <v/>
      </c>
    </row>
    <row r="102">
      <c r="A102" t="n">
        <v>91</v>
      </c>
      <c r="B102" s="22">
        <f>EDATE(Debts!$B$5,90)</f>
        <v/>
      </c>
      <c r="C102" s="23">
        <f>MAX(0,Debts!$B$6-(MIN(C$8,G102)+MIN(D$8,J102)+MIN(E$8,M102)+MIN(F$8,P102)+MIN(G$8,S102)))</f>
        <v/>
      </c>
      <c r="D102" s="23">
        <f>H102+K102+N102+Q102+T102</f>
        <v/>
      </c>
      <c r="E102" s="23">
        <f>I102+L102+O102+R102+U102</f>
        <v/>
      </c>
      <c r="F102" s="23" t="n"/>
      <c r="G102" s="23">
        <f>ROUND(I101*(1+C$7/12),2)</f>
        <v/>
      </c>
      <c r="H102" s="23">
        <f>MIN(C$8,G102)+MAX(0,MIN(G102-MIN(C$8,G102),$C102-(0)))</f>
        <v/>
      </c>
      <c r="I102" s="23">
        <f>ROUND(G102-H102,2)</f>
        <v/>
      </c>
      <c r="J102" s="23">
        <f>ROUND(L101*(1+D$7/12),2)</f>
        <v/>
      </c>
      <c r="K102" s="23">
        <f>MIN(D$8,J102)+MAX(0,MIN(J102-MIN(D$8,J102),$C102-((H102-MIN(C$8,G102)))))</f>
        <v/>
      </c>
      <c r="L102" s="23">
        <f>ROUND(J102-K102,2)</f>
        <v/>
      </c>
      <c r="M102" s="23">
        <f>ROUND(O101*(1+E$7/12),2)</f>
        <v/>
      </c>
      <c r="N102" s="23">
        <f>MIN(E$8,M102)+MAX(0,MIN(M102-MIN(E$8,M102),$C102-((H102-MIN(C$8,G102))+(K102-MIN(D$8,J102)))))</f>
        <v/>
      </c>
      <c r="O102" s="23">
        <f>ROUND(M102-N102,2)</f>
        <v/>
      </c>
      <c r="P102" s="23">
        <f>ROUND(R101*(1+F$7/12),2)</f>
        <v/>
      </c>
      <c r="Q102" s="23">
        <f>MIN(F$8,P102)+MAX(0,MIN(P102-MIN(F$8,P102),$C102-((H102-MIN(C$8,G102))+(K102-MIN(D$8,J102))+(N102-MIN(E$8,M102)))))</f>
        <v/>
      </c>
      <c r="R102" s="23">
        <f>ROUND(P102-Q102,2)</f>
        <v/>
      </c>
      <c r="S102" s="23">
        <f>ROUND(U101*(1+G$7/12),2)</f>
        <v/>
      </c>
      <c r="T102" s="23">
        <f>MIN(G$8,S102)+MAX(0,MIN(S102-MIN(G$8,S102),$C102-((H102-MIN(C$8,G102))+(K102-MIN(D$8,J102))+(N102-MIN(E$8,M102))+(Q102-MIN(F$8,P102)))))</f>
        <v/>
      </c>
      <c r="U102" s="23">
        <f>ROUND(S102-T102,2)</f>
        <v/>
      </c>
    </row>
    <row r="103">
      <c r="A103" t="n">
        <v>92</v>
      </c>
      <c r="B103" s="22">
        <f>EDATE(Debts!$B$5,91)</f>
        <v/>
      </c>
      <c r="C103" s="23">
        <f>MAX(0,Debts!$B$6-(MIN(C$8,G103)+MIN(D$8,J103)+MIN(E$8,M103)+MIN(F$8,P103)+MIN(G$8,S103)))</f>
        <v/>
      </c>
      <c r="D103" s="23">
        <f>H103+K103+N103+Q103+T103</f>
        <v/>
      </c>
      <c r="E103" s="23">
        <f>I103+L103+O103+R103+U103</f>
        <v/>
      </c>
      <c r="F103" s="23" t="n"/>
      <c r="G103" s="23">
        <f>ROUND(I102*(1+C$7/12),2)</f>
        <v/>
      </c>
      <c r="H103" s="23">
        <f>MIN(C$8,G103)+MAX(0,MIN(G103-MIN(C$8,G103),$C103-(0)))</f>
        <v/>
      </c>
      <c r="I103" s="23">
        <f>ROUND(G103-H103,2)</f>
        <v/>
      </c>
      <c r="J103" s="23">
        <f>ROUND(L102*(1+D$7/12),2)</f>
        <v/>
      </c>
      <c r="K103" s="23">
        <f>MIN(D$8,J103)+MAX(0,MIN(J103-MIN(D$8,J103),$C103-((H103-MIN(C$8,G103)))))</f>
        <v/>
      </c>
      <c r="L103" s="23">
        <f>ROUND(J103-K103,2)</f>
        <v/>
      </c>
      <c r="M103" s="23">
        <f>ROUND(O102*(1+E$7/12),2)</f>
        <v/>
      </c>
      <c r="N103" s="23">
        <f>MIN(E$8,M103)+MAX(0,MIN(M103-MIN(E$8,M103),$C103-((H103-MIN(C$8,G103))+(K103-MIN(D$8,J103)))))</f>
        <v/>
      </c>
      <c r="O103" s="23">
        <f>ROUND(M103-N103,2)</f>
        <v/>
      </c>
      <c r="P103" s="23">
        <f>ROUND(R102*(1+F$7/12),2)</f>
        <v/>
      </c>
      <c r="Q103" s="23">
        <f>MIN(F$8,P103)+MAX(0,MIN(P103-MIN(F$8,P103),$C103-((H103-MIN(C$8,G103))+(K103-MIN(D$8,J103))+(N103-MIN(E$8,M103)))))</f>
        <v/>
      </c>
      <c r="R103" s="23">
        <f>ROUND(P103-Q103,2)</f>
        <v/>
      </c>
      <c r="S103" s="23">
        <f>ROUND(U102*(1+G$7/12),2)</f>
        <v/>
      </c>
      <c r="T103" s="23">
        <f>MIN(G$8,S103)+MAX(0,MIN(S103-MIN(G$8,S103),$C103-((H103-MIN(C$8,G103))+(K103-MIN(D$8,J103))+(N103-MIN(E$8,M103))+(Q103-MIN(F$8,P103)))))</f>
        <v/>
      </c>
      <c r="U103" s="23">
        <f>ROUND(S103-T103,2)</f>
        <v/>
      </c>
    </row>
    <row r="104">
      <c r="A104" t="n">
        <v>93</v>
      </c>
      <c r="B104" s="22">
        <f>EDATE(Debts!$B$5,92)</f>
        <v/>
      </c>
      <c r="C104" s="23">
        <f>MAX(0,Debts!$B$6-(MIN(C$8,G104)+MIN(D$8,J104)+MIN(E$8,M104)+MIN(F$8,P104)+MIN(G$8,S104)))</f>
        <v/>
      </c>
      <c r="D104" s="23">
        <f>H104+K104+N104+Q104+T104</f>
        <v/>
      </c>
      <c r="E104" s="23">
        <f>I104+L104+O104+R104+U104</f>
        <v/>
      </c>
      <c r="F104" s="23" t="n"/>
      <c r="G104" s="23">
        <f>ROUND(I103*(1+C$7/12),2)</f>
        <v/>
      </c>
      <c r="H104" s="23">
        <f>MIN(C$8,G104)+MAX(0,MIN(G104-MIN(C$8,G104),$C104-(0)))</f>
        <v/>
      </c>
      <c r="I104" s="23">
        <f>ROUND(G104-H104,2)</f>
        <v/>
      </c>
      <c r="J104" s="23">
        <f>ROUND(L103*(1+D$7/12),2)</f>
        <v/>
      </c>
      <c r="K104" s="23">
        <f>MIN(D$8,J104)+MAX(0,MIN(J104-MIN(D$8,J104),$C104-((H104-MIN(C$8,G104)))))</f>
        <v/>
      </c>
      <c r="L104" s="23">
        <f>ROUND(J104-K104,2)</f>
        <v/>
      </c>
      <c r="M104" s="23">
        <f>ROUND(O103*(1+E$7/12),2)</f>
        <v/>
      </c>
      <c r="N104" s="23">
        <f>MIN(E$8,M104)+MAX(0,MIN(M104-MIN(E$8,M104),$C104-((H104-MIN(C$8,G104))+(K104-MIN(D$8,J104)))))</f>
        <v/>
      </c>
      <c r="O104" s="23">
        <f>ROUND(M104-N104,2)</f>
        <v/>
      </c>
      <c r="P104" s="23">
        <f>ROUND(R103*(1+F$7/12),2)</f>
        <v/>
      </c>
      <c r="Q104" s="23">
        <f>MIN(F$8,P104)+MAX(0,MIN(P104-MIN(F$8,P104),$C104-((H104-MIN(C$8,G104))+(K104-MIN(D$8,J104))+(N104-MIN(E$8,M104)))))</f>
        <v/>
      </c>
      <c r="R104" s="23">
        <f>ROUND(P104-Q104,2)</f>
        <v/>
      </c>
      <c r="S104" s="23">
        <f>ROUND(U103*(1+G$7/12),2)</f>
        <v/>
      </c>
      <c r="T104" s="23">
        <f>MIN(G$8,S104)+MAX(0,MIN(S104-MIN(G$8,S104),$C104-((H104-MIN(C$8,G104))+(K104-MIN(D$8,J104))+(N104-MIN(E$8,M104))+(Q104-MIN(F$8,P104)))))</f>
        <v/>
      </c>
      <c r="U104" s="23">
        <f>ROUND(S104-T104,2)</f>
        <v/>
      </c>
    </row>
    <row r="105">
      <c r="A105" t="n">
        <v>94</v>
      </c>
      <c r="B105" s="22">
        <f>EDATE(Debts!$B$5,93)</f>
        <v/>
      </c>
      <c r="C105" s="23">
        <f>MAX(0,Debts!$B$6-(MIN(C$8,G105)+MIN(D$8,J105)+MIN(E$8,M105)+MIN(F$8,P105)+MIN(G$8,S105)))</f>
        <v/>
      </c>
      <c r="D105" s="23">
        <f>H105+K105+N105+Q105+T105</f>
        <v/>
      </c>
      <c r="E105" s="23">
        <f>I105+L105+O105+R105+U105</f>
        <v/>
      </c>
      <c r="F105" s="23" t="n"/>
      <c r="G105" s="23">
        <f>ROUND(I104*(1+C$7/12),2)</f>
        <v/>
      </c>
      <c r="H105" s="23">
        <f>MIN(C$8,G105)+MAX(0,MIN(G105-MIN(C$8,G105),$C105-(0)))</f>
        <v/>
      </c>
      <c r="I105" s="23">
        <f>ROUND(G105-H105,2)</f>
        <v/>
      </c>
      <c r="J105" s="23">
        <f>ROUND(L104*(1+D$7/12),2)</f>
        <v/>
      </c>
      <c r="K105" s="23">
        <f>MIN(D$8,J105)+MAX(0,MIN(J105-MIN(D$8,J105),$C105-((H105-MIN(C$8,G105)))))</f>
        <v/>
      </c>
      <c r="L105" s="23">
        <f>ROUND(J105-K105,2)</f>
        <v/>
      </c>
      <c r="M105" s="23">
        <f>ROUND(O104*(1+E$7/12),2)</f>
        <v/>
      </c>
      <c r="N105" s="23">
        <f>MIN(E$8,M105)+MAX(0,MIN(M105-MIN(E$8,M105),$C105-((H105-MIN(C$8,G105))+(K105-MIN(D$8,J105)))))</f>
        <v/>
      </c>
      <c r="O105" s="23">
        <f>ROUND(M105-N105,2)</f>
        <v/>
      </c>
      <c r="P105" s="23">
        <f>ROUND(R104*(1+F$7/12),2)</f>
        <v/>
      </c>
      <c r="Q105" s="23">
        <f>MIN(F$8,P105)+MAX(0,MIN(P105-MIN(F$8,P105),$C105-((H105-MIN(C$8,G105))+(K105-MIN(D$8,J105))+(N105-MIN(E$8,M105)))))</f>
        <v/>
      </c>
      <c r="R105" s="23">
        <f>ROUND(P105-Q105,2)</f>
        <v/>
      </c>
      <c r="S105" s="23">
        <f>ROUND(U104*(1+G$7/12),2)</f>
        <v/>
      </c>
      <c r="T105" s="23">
        <f>MIN(G$8,S105)+MAX(0,MIN(S105-MIN(G$8,S105),$C105-((H105-MIN(C$8,G105))+(K105-MIN(D$8,J105))+(N105-MIN(E$8,M105))+(Q105-MIN(F$8,P105)))))</f>
        <v/>
      </c>
      <c r="U105" s="23">
        <f>ROUND(S105-T105,2)</f>
        <v/>
      </c>
    </row>
    <row r="106">
      <c r="A106" t="n">
        <v>95</v>
      </c>
      <c r="B106" s="22">
        <f>EDATE(Debts!$B$5,94)</f>
        <v/>
      </c>
      <c r="C106" s="23">
        <f>MAX(0,Debts!$B$6-(MIN(C$8,G106)+MIN(D$8,J106)+MIN(E$8,M106)+MIN(F$8,P106)+MIN(G$8,S106)))</f>
        <v/>
      </c>
      <c r="D106" s="23">
        <f>H106+K106+N106+Q106+T106</f>
        <v/>
      </c>
      <c r="E106" s="23">
        <f>I106+L106+O106+R106+U106</f>
        <v/>
      </c>
      <c r="F106" s="23" t="n"/>
      <c r="G106" s="23">
        <f>ROUND(I105*(1+C$7/12),2)</f>
        <v/>
      </c>
      <c r="H106" s="23">
        <f>MIN(C$8,G106)+MAX(0,MIN(G106-MIN(C$8,G106),$C106-(0)))</f>
        <v/>
      </c>
      <c r="I106" s="23">
        <f>ROUND(G106-H106,2)</f>
        <v/>
      </c>
      <c r="J106" s="23">
        <f>ROUND(L105*(1+D$7/12),2)</f>
        <v/>
      </c>
      <c r="K106" s="23">
        <f>MIN(D$8,J106)+MAX(0,MIN(J106-MIN(D$8,J106),$C106-((H106-MIN(C$8,G106)))))</f>
        <v/>
      </c>
      <c r="L106" s="23">
        <f>ROUND(J106-K106,2)</f>
        <v/>
      </c>
      <c r="M106" s="23">
        <f>ROUND(O105*(1+E$7/12),2)</f>
        <v/>
      </c>
      <c r="N106" s="23">
        <f>MIN(E$8,M106)+MAX(0,MIN(M106-MIN(E$8,M106),$C106-((H106-MIN(C$8,G106))+(K106-MIN(D$8,J106)))))</f>
        <v/>
      </c>
      <c r="O106" s="23">
        <f>ROUND(M106-N106,2)</f>
        <v/>
      </c>
      <c r="P106" s="23">
        <f>ROUND(R105*(1+F$7/12),2)</f>
        <v/>
      </c>
      <c r="Q106" s="23">
        <f>MIN(F$8,P106)+MAX(0,MIN(P106-MIN(F$8,P106),$C106-((H106-MIN(C$8,G106))+(K106-MIN(D$8,J106))+(N106-MIN(E$8,M106)))))</f>
        <v/>
      </c>
      <c r="R106" s="23">
        <f>ROUND(P106-Q106,2)</f>
        <v/>
      </c>
      <c r="S106" s="23">
        <f>ROUND(U105*(1+G$7/12),2)</f>
        <v/>
      </c>
      <c r="T106" s="23">
        <f>MIN(G$8,S106)+MAX(0,MIN(S106-MIN(G$8,S106),$C106-((H106-MIN(C$8,G106))+(K106-MIN(D$8,J106))+(N106-MIN(E$8,M106))+(Q106-MIN(F$8,P106)))))</f>
        <v/>
      </c>
      <c r="U106" s="23">
        <f>ROUND(S106-T106,2)</f>
        <v/>
      </c>
    </row>
    <row r="107">
      <c r="A107" t="n">
        <v>96</v>
      </c>
      <c r="B107" s="22">
        <f>EDATE(Debts!$B$5,95)</f>
        <v/>
      </c>
      <c r="C107" s="23">
        <f>MAX(0,Debts!$B$6-(MIN(C$8,G107)+MIN(D$8,J107)+MIN(E$8,M107)+MIN(F$8,P107)+MIN(G$8,S107)))</f>
        <v/>
      </c>
      <c r="D107" s="23">
        <f>H107+K107+N107+Q107+T107</f>
        <v/>
      </c>
      <c r="E107" s="23">
        <f>I107+L107+O107+R107+U107</f>
        <v/>
      </c>
      <c r="F107" s="23" t="n"/>
      <c r="G107" s="23">
        <f>ROUND(I106*(1+C$7/12),2)</f>
        <v/>
      </c>
      <c r="H107" s="23">
        <f>MIN(C$8,G107)+MAX(0,MIN(G107-MIN(C$8,G107),$C107-(0)))</f>
        <v/>
      </c>
      <c r="I107" s="23">
        <f>ROUND(G107-H107,2)</f>
        <v/>
      </c>
      <c r="J107" s="23">
        <f>ROUND(L106*(1+D$7/12),2)</f>
        <v/>
      </c>
      <c r="K107" s="23">
        <f>MIN(D$8,J107)+MAX(0,MIN(J107-MIN(D$8,J107),$C107-((H107-MIN(C$8,G107)))))</f>
        <v/>
      </c>
      <c r="L107" s="23">
        <f>ROUND(J107-K107,2)</f>
        <v/>
      </c>
      <c r="M107" s="23">
        <f>ROUND(O106*(1+E$7/12),2)</f>
        <v/>
      </c>
      <c r="N107" s="23">
        <f>MIN(E$8,M107)+MAX(0,MIN(M107-MIN(E$8,M107),$C107-((H107-MIN(C$8,G107))+(K107-MIN(D$8,J107)))))</f>
        <v/>
      </c>
      <c r="O107" s="23">
        <f>ROUND(M107-N107,2)</f>
        <v/>
      </c>
      <c r="P107" s="23">
        <f>ROUND(R106*(1+F$7/12),2)</f>
        <v/>
      </c>
      <c r="Q107" s="23">
        <f>MIN(F$8,P107)+MAX(0,MIN(P107-MIN(F$8,P107),$C107-((H107-MIN(C$8,G107))+(K107-MIN(D$8,J107))+(N107-MIN(E$8,M107)))))</f>
        <v/>
      </c>
      <c r="R107" s="23">
        <f>ROUND(P107-Q107,2)</f>
        <v/>
      </c>
      <c r="S107" s="23">
        <f>ROUND(U106*(1+G$7/12),2)</f>
        <v/>
      </c>
      <c r="T107" s="23">
        <f>MIN(G$8,S107)+MAX(0,MIN(S107-MIN(G$8,S107),$C107-((H107-MIN(C$8,G107))+(K107-MIN(D$8,J107))+(N107-MIN(E$8,M107))+(Q107-MIN(F$8,P107)))))</f>
        <v/>
      </c>
      <c r="U107" s="23">
        <f>ROUND(S107-T107,2)</f>
        <v/>
      </c>
    </row>
    <row r="108">
      <c r="A108" t="n">
        <v>97</v>
      </c>
      <c r="B108" s="22">
        <f>EDATE(Debts!$B$5,96)</f>
        <v/>
      </c>
      <c r="C108" s="23">
        <f>MAX(0,Debts!$B$6-(MIN(C$8,G108)+MIN(D$8,J108)+MIN(E$8,M108)+MIN(F$8,P108)+MIN(G$8,S108)))</f>
        <v/>
      </c>
      <c r="D108" s="23">
        <f>H108+K108+N108+Q108+T108</f>
        <v/>
      </c>
      <c r="E108" s="23">
        <f>I108+L108+O108+R108+U108</f>
        <v/>
      </c>
      <c r="F108" s="23" t="n"/>
      <c r="G108" s="23">
        <f>ROUND(I107*(1+C$7/12),2)</f>
        <v/>
      </c>
      <c r="H108" s="23">
        <f>MIN(C$8,G108)+MAX(0,MIN(G108-MIN(C$8,G108),$C108-(0)))</f>
        <v/>
      </c>
      <c r="I108" s="23">
        <f>ROUND(G108-H108,2)</f>
        <v/>
      </c>
      <c r="J108" s="23">
        <f>ROUND(L107*(1+D$7/12),2)</f>
        <v/>
      </c>
      <c r="K108" s="23">
        <f>MIN(D$8,J108)+MAX(0,MIN(J108-MIN(D$8,J108),$C108-((H108-MIN(C$8,G108)))))</f>
        <v/>
      </c>
      <c r="L108" s="23">
        <f>ROUND(J108-K108,2)</f>
        <v/>
      </c>
      <c r="M108" s="23">
        <f>ROUND(O107*(1+E$7/12),2)</f>
        <v/>
      </c>
      <c r="N108" s="23">
        <f>MIN(E$8,M108)+MAX(0,MIN(M108-MIN(E$8,M108),$C108-((H108-MIN(C$8,G108))+(K108-MIN(D$8,J108)))))</f>
        <v/>
      </c>
      <c r="O108" s="23">
        <f>ROUND(M108-N108,2)</f>
        <v/>
      </c>
      <c r="P108" s="23">
        <f>ROUND(R107*(1+F$7/12),2)</f>
        <v/>
      </c>
      <c r="Q108" s="23">
        <f>MIN(F$8,P108)+MAX(0,MIN(P108-MIN(F$8,P108),$C108-((H108-MIN(C$8,G108))+(K108-MIN(D$8,J108))+(N108-MIN(E$8,M108)))))</f>
        <v/>
      </c>
      <c r="R108" s="23">
        <f>ROUND(P108-Q108,2)</f>
        <v/>
      </c>
      <c r="S108" s="23">
        <f>ROUND(U107*(1+G$7/12),2)</f>
        <v/>
      </c>
      <c r="T108" s="23">
        <f>MIN(G$8,S108)+MAX(0,MIN(S108-MIN(G$8,S108),$C108-((H108-MIN(C$8,G108))+(K108-MIN(D$8,J108))+(N108-MIN(E$8,M108))+(Q108-MIN(F$8,P108)))))</f>
        <v/>
      </c>
      <c r="U108" s="23">
        <f>ROUND(S108-T108,2)</f>
        <v/>
      </c>
    </row>
    <row r="109">
      <c r="A109" t="n">
        <v>98</v>
      </c>
      <c r="B109" s="22">
        <f>EDATE(Debts!$B$5,97)</f>
        <v/>
      </c>
      <c r="C109" s="23">
        <f>MAX(0,Debts!$B$6-(MIN(C$8,G109)+MIN(D$8,J109)+MIN(E$8,M109)+MIN(F$8,P109)+MIN(G$8,S109)))</f>
        <v/>
      </c>
      <c r="D109" s="23">
        <f>H109+K109+N109+Q109+T109</f>
        <v/>
      </c>
      <c r="E109" s="23">
        <f>I109+L109+O109+R109+U109</f>
        <v/>
      </c>
      <c r="F109" s="23" t="n"/>
      <c r="G109" s="23">
        <f>ROUND(I108*(1+C$7/12),2)</f>
        <v/>
      </c>
      <c r="H109" s="23">
        <f>MIN(C$8,G109)+MAX(0,MIN(G109-MIN(C$8,G109),$C109-(0)))</f>
        <v/>
      </c>
      <c r="I109" s="23">
        <f>ROUND(G109-H109,2)</f>
        <v/>
      </c>
      <c r="J109" s="23">
        <f>ROUND(L108*(1+D$7/12),2)</f>
        <v/>
      </c>
      <c r="K109" s="23">
        <f>MIN(D$8,J109)+MAX(0,MIN(J109-MIN(D$8,J109),$C109-((H109-MIN(C$8,G109)))))</f>
        <v/>
      </c>
      <c r="L109" s="23">
        <f>ROUND(J109-K109,2)</f>
        <v/>
      </c>
      <c r="M109" s="23">
        <f>ROUND(O108*(1+E$7/12),2)</f>
        <v/>
      </c>
      <c r="N109" s="23">
        <f>MIN(E$8,M109)+MAX(0,MIN(M109-MIN(E$8,M109),$C109-((H109-MIN(C$8,G109))+(K109-MIN(D$8,J109)))))</f>
        <v/>
      </c>
      <c r="O109" s="23">
        <f>ROUND(M109-N109,2)</f>
        <v/>
      </c>
      <c r="P109" s="23">
        <f>ROUND(R108*(1+F$7/12),2)</f>
        <v/>
      </c>
      <c r="Q109" s="23">
        <f>MIN(F$8,P109)+MAX(0,MIN(P109-MIN(F$8,P109),$C109-((H109-MIN(C$8,G109))+(K109-MIN(D$8,J109))+(N109-MIN(E$8,M109)))))</f>
        <v/>
      </c>
      <c r="R109" s="23">
        <f>ROUND(P109-Q109,2)</f>
        <v/>
      </c>
      <c r="S109" s="23">
        <f>ROUND(U108*(1+G$7/12),2)</f>
        <v/>
      </c>
      <c r="T109" s="23">
        <f>MIN(G$8,S109)+MAX(0,MIN(S109-MIN(G$8,S109),$C109-((H109-MIN(C$8,G109))+(K109-MIN(D$8,J109))+(N109-MIN(E$8,M109))+(Q109-MIN(F$8,P109)))))</f>
        <v/>
      </c>
      <c r="U109" s="23">
        <f>ROUND(S109-T109,2)</f>
        <v/>
      </c>
    </row>
    <row r="110">
      <c r="A110" t="n">
        <v>99</v>
      </c>
      <c r="B110" s="22">
        <f>EDATE(Debts!$B$5,98)</f>
        <v/>
      </c>
      <c r="C110" s="23">
        <f>MAX(0,Debts!$B$6-(MIN(C$8,G110)+MIN(D$8,J110)+MIN(E$8,M110)+MIN(F$8,P110)+MIN(G$8,S110)))</f>
        <v/>
      </c>
      <c r="D110" s="23">
        <f>H110+K110+N110+Q110+T110</f>
        <v/>
      </c>
      <c r="E110" s="23">
        <f>I110+L110+O110+R110+U110</f>
        <v/>
      </c>
      <c r="F110" s="23" t="n"/>
      <c r="G110" s="23">
        <f>ROUND(I109*(1+C$7/12),2)</f>
        <v/>
      </c>
      <c r="H110" s="23">
        <f>MIN(C$8,G110)+MAX(0,MIN(G110-MIN(C$8,G110),$C110-(0)))</f>
        <v/>
      </c>
      <c r="I110" s="23">
        <f>ROUND(G110-H110,2)</f>
        <v/>
      </c>
      <c r="J110" s="23">
        <f>ROUND(L109*(1+D$7/12),2)</f>
        <v/>
      </c>
      <c r="K110" s="23">
        <f>MIN(D$8,J110)+MAX(0,MIN(J110-MIN(D$8,J110),$C110-((H110-MIN(C$8,G110)))))</f>
        <v/>
      </c>
      <c r="L110" s="23">
        <f>ROUND(J110-K110,2)</f>
        <v/>
      </c>
      <c r="M110" s="23">
        <f>ROUND(O109*(1+E$7/12),2)</f>
        <v/>
      </c>
      <c r="N110" s="23">
        <f>MIN(E$8,M110)+MAX(0,MIN(M110-MIN(E$8,M110),$C110-((H110-MIN(C$8,G110))+(K110-MIN(D$8,J110)))))</f>
        <v/>
      </c>
      <c r="O110" s="23">
        <f>ROUND(M110-N110,2)</f>
        <v/>
      </c>
      <c r="P110" s="23">
        <f>ROUND(R109*(1+F$7/12),2)</f>
        <v/>
      </c>
      <c r="Q110" s="23">
        <f>MIN(F$8,P110)+MAX(0,MIN(P110-MIN(F$8,P110),$C110-((H110-MIN(C$8,G110))+(K110-MIN(D$8,J110))+(N110-MIN(E$8,M110)))))</f>
        <v/>
      </c>
      <c r="R110" s="23">
        <f>ROUND(P110-Q110,2)</f>
        <v/>
      </c>
      <c r="S110" s="23">
        <f>ROUND(U109*(1+G$7/12),2)</f>
        <v/>
      </c>
      <c r="T110" s="23">
        <f>MIN(G$8,S110)+MAX(0,MIN(S110-MIN(G$8,S110),$C110-((H110-MIN(C$8,G110))+(K110-MIN(D$8,J110))+(N110-MIN(E$8,M110))+(Q110-MIN(F$8,P110)))))</f>
        <v/>
      </c>
      <c r="U110" s="23">
        <f>ROUND(S110-T110,2)</f>
        <v/>
      </c>
    </row>
    <row r="111">
      <c r="A111" t="n">
        <v>100</v>
      </c>
      <c r="B111" s="22">
        <f>EDATE(Debts!$B$5,99)</f>
        <v/>
      </c>
      <c r="C111" s="23">
        <f>MAX(0,Debts!$B$6-(MIN(C$8,G111)+MIN(D$8,J111)+MIN(E$8,M111)+MIN(F$8,P111)+MIN(G$8,S111)))</f>
        <v/>
      </c>
      <c r="D111" s="23">
        <f>H111+K111+N111+Q111+T111</f>
        <v/>
      </c>
      <c r="E111" s="23">
        <f>I111+L111+O111+R111+U111</f>
        <v/>
      </c>
      <c r="F111" s="23" t="n"/>
      <c r="G111" s="23">
        <f>ROUND(I110*(1+C$7/12),2)</f>
        <v/>
      </c>
      <c r="H111" s="23">
        <f>MIN(C$8,G111)+MAX(0,MIN(G111-MIN(C$8,G111),$C111-(0)))</f>
        <v/>
      </c>
      <c r="I111" s="23">
        <f>ROUND(G111-H111,2)</f>
        <v/>
      </c>
      <c r="J111" s="23">
        <f>ROUND(L110*(1+D$7/12),2)</f>
        <v/>
      </c>
      <c r="K111" s="23">
        <f>MIN(D$8,J111)+MAX(0,MIN(J111-MIN(D$8,J111),$C111-((H111-MIN(C$8,G111)))))</f>
        <v/>
      </c>
      <c r="L111" s="23">
        <f>ROUND(J111-K111,2)</f>
        <v/>
      </c>
      <c r="M111" s="23">
        <f>ROUND(O110*(1+E$7/12),2)</f>
        <v/>
      </c>
      <c r="N111" s="23">
        <f>MIN(E$8,M111)+MAX(0,MIN(M111-MIN(E$8,M111),$C111-((H111-MIN(C$8,G111))+(K111-MIN(D$8,J111)))))</f>
        <v/>
      </c>
      <c r="O111" s="23">
        <f>ROUND(M111-N111,2)</f>
        <v/>
      </c>
      <c r="P111" s="23">
        <f>ROUND(R110*(1+F$7/12),2)</f>
        <v/>
      </c>
      <c r="Q111" s="23">
        <f>MIN(F$8,P111)+MAX(0,MIN(P111-MIN(F$8,P111),$C111-((H111-MIN(C$8,G111))+(K111-MIN(D$8,J111))+(N111-MIN(E$8,M111)))))</f>
        <v/>
      </c>
      <c r="R111" s="23">
        <f>ROUND(P111-Q111,2)</f>
        <v/>
      </c>
      <c r="S111" s="23">
        <f>ROUND(U110*(1+G$7/12),2)</f>
        <v/>
      </c>
      <c r="T111" s="23">
        <f>MIN(G$8,S111)+MAX(0,MIN(S111-MIN(G$8,S111),$C111-((H111-MIN(C$8,G111))+(K111-MIN(D$8,J111))+(N111-MIN(E$8,M111))+(Q111-MIN(F$8,P111)))))</f>
        <v/>
      </c>
      <c r="U111" s="23">
        <f>ROUND(S111-T111,2)</f>
        <v/>
      </c>
    </row>
    <row r="112">
      <c r="A112" t="n">
        <v>101</v>
      </c>
      <c r="B112" s="22">
        <f>EDATE(Debts!$B$5,100)</f>
        <v/>
      </c>
      <c r="C112" s="23">
        <f>MAX(0,Debts!$B$6-(MIN(C$8,G112)+MIN(D$8,J112)+MIN(E$8,M112)+MIN(F$8,P112)+MIN(G$8,S112)))</f>
        <v/>
      </c>
      <c r="D112" s="23">
        <f>H112+K112+N112+Q112+T112</f>
        <v/>
      </c>
      <c r="E112" s="23">
        <f>I112+L112+O112+R112+U112</f>
        <v/>
      </c>
      <c r="F112" s="23" t="n"/>
      <c r="G112" s="23">
        <f>ROUND(I111*(1+C$7/12),2)</f>
        <v/>
      </c>
      <c r="H112" s="23">
        <f>MIN(C$8,G112)+MAX(0,MIN(G112-MIN(C$8,G112),$C112-(0)))</f>
        <v/>
      </c>
      <c r="I112" s="23">
        <f>ROUND(G112-H112,2)</f>
        <v/>
      </c>
      <c r="J112" s="23">
        <f>ROUND(L111*(1+D$7/12),2)</f>
        <v/>
      </c>
      <c r="K112" s="23">
        <f>MIN(D$8,J112)+MAX(0,MIN(J112-MIN(D$8,J112),$C112-((H112-MIN(C$8,G112)))))</f>
        <v/>
      </c>
      <c r="L112" s="23">
        <f>ROUND(J112-K112,2)</f>
        <v/>
      </c>
      <c r="M112" s="23">
        <f>ROUND(O111*(1+E$7/12),2)</f>
        <v/>
      </c>
      <c r="N112" s="23">
        <f>MIN(E$8,M112)+MAX(0,MIN(M112-MIN(E$8,M112),$C112-((H112-MIN(C$8,G112))+(K112-MIN(D$8,J112)))))</f>
        <v/>
      </c>
      <c r="O112" s="23">
        <f>ROUND(M112-N112,2)</f>
        <v/>
      </c>
      <c r="P112" s="23">
        <f>ROUND(R111*(1+F$7/12),2)</f>
        <v/>
      </c>
      <c r="Q112" s="23">
        <f>MIN(F$8,P112)+MAX(0,MIN(P112-MIN(F$8,P112),$C112-((H112-MIN(C$8,G112))+(K112-MIN(D$8,J112))+(N112-MIN(E$8,M112)))))</f>
        <v/>
      </c>
      <c r="R112" s="23">
        <f>ROUND(P112-Q112,2)</f>
        <v/>
      </c>
      <c r="S112" s="23">
        <f>ROUND(U111*(1+G$7/12),2)</f>
        <v/>
      </c>
      <c r="T112" s="23">
        <f>MIN(G$8,S112)+MAX(0,MIN(S112-MIN(G$8,S112),$C112-((H112-MIN(C$8,G112))+(K112-MIN(D$8,J112))+(N112-MIN(E$8,M112))+(Q112-MIN(F$8,P112)))))</f>
        <v/>
      </c>
      <c r="U112" s="23">
        <f>ROUND(S112-T112,2)</f>
        <v/>
      </c>
    </row>
    <row r="113">
      <c r="A113" t="n">
        <v>102</v>
      </c>
      <c r="B113" s="22">
        <f>EDATE(Debts!$B$5,101)</f>
        <v/>
      </c>
      <c r="C113" s="23">
        <f>MAX(0,Debts!$B$6-(MIN(C$8,G113)+MIN(D$8,J113)+MIN(E$8,M113)+MIN(F$8,P113)+MIN(G$8,S113)))</f>
        <v/>
      </c>
      <c r="D113" s="23">
        <f>H113+K113+N113+Q113+T113</f>
        <v/>
      </c>
      <c r="E113" s="23">
        <f>I113+L113+O113+R113+U113</f>
        <v/>
      </c>
      <c r="F113" s="23" t="n"/>
      <c r="G113" s="23">
        <f>ROUND(I112*(1+C$7/12),2)</f>
        <v/>
      </c>
      <c r="H113" s="23">
        <f>MIN(C$8,G113)+MAX(0,MIN(G113-MIN(C$8,G113),$C113-(0)))</f>
        <v/>
      </c>
      <c r="I113" s="23">
        <f>ROUND(G113-H113,2)</f>
        <v/>
      </c>
      <c r="J113" s="23">
        <f>ROUND(L112*(1+D$7/12),2)</f>
        <v/>
      </c>
      <c r="K113" s="23">
        <f>MIN(D$8,J113)+MAX(0,MIN(J113-MIN(D$8,J113),$C113-((H113-MIN(C$8,G113)))))</f>
        <v/>
      </c>
      <c r="L113" s="23">
        <f>ROUND(J113-K113,2)</f>
        <v/>
      </c>
      <c r="M113" s="23">
        <f>ROUND(O112*(1+E$7/12),2)</f>
        <v/>
      </c>
      <c r="N113" s="23">
        <f>MIN(E$8,M113)+MAX(0,MIN(M113-MIN(E$8,M113),$C113-((H113-MIN(C$8,G113))+(K113-MIN(D$8,J113)))))</f>
        <v/>
      </c>
      <c r="O113" s="23">
        <f>ROUND(M113-N113,2)</f>
        <v/>
      </c>
      <c r="P113" s="23">
        <f>ROUND(R112*(1+F$7/12),2)</f>
        <v/>
      </c>
      <c r="Q113" s="23">
        <f>MIN(F$8,P113)+MAX(0,MIN(P113-MIN(F$8,P113),$C113-((H113-MIN(C$8,G113))+(K113-MIN(D$8,J113))+(N113-MIN(E$8,M113)))))</f>
        <v/>
      </c>
      <c r="R113" s="23">
        <f>ROUND(P113-Q113,2)</f>
        <v/>
      </c>
      <c r="S113" s="23">
        <f>ROUND(U112*(1+G$7/12),2)</f>
        <v/>
      </c>
      <c r="T113" s="23">
        <f>MIN(G$8,S113)+MAX(0,MIN(S113-MIN(G$8,S113),$C113-((H113-MIN(C$8,G113))+(K113-MIN(D$8,J113))+(N113-MIN(E$8,M113))+(Q113-MIN(F$8,P113)))))</f>
        <v/>
      </c>
      <c r="U113" s="23">
        <f>ROUND(S113-T113,2)</f>
        <v/>
      </c>
    </row>
    <row r="114">
      <c r="A114" t="n">
        <v>103</v>
      </c>
      <c r="B114" s="22">
        <f>EDATE(Debts!$B$5,102)</f>
        <v/>
      </c>
      <c r="C114" s="23">
        <f>MAX(0,Debts!$B$6-(MIN(C$8,G114)+MIN(D$8,J114)+MIN(E$8,M114)+MIN(F$8,P114)+MIN(G$8,S114)))</f>
        <v/>
      </c>
      <c r="D114" s="23">
        <f>H114+K114+N114+Q114+T114</f>
        <v/>
      </c>
      <c r="E114" s="23">
        <f>I114+L114+O114+R114+U114</f>
        <v/>
      </c>
      <c r="F114" s="23" t="n"/>
      <c r="G114" s="23">
        <f>ROUND(I113*(1+C$7/12),2)</f>
        <v/>
      </c>
      <c r="H114" s="23">
        <f>MIN(C$8,G114)+MAX(0,MIN(G114-MIN(C$8,G114),$C114-(0)))</f>
        <v/>
      </c>
      <c r="I114" s="23">
        <f>ROUND(G114-H114,2)</f>
        <v/>
      </c>
      <c r="J114" s="23">
        <f>ROUND(L113*(1+D$7/12),2)</f>
        <v/>
      </c>
      <c r="K114" s="23">
        <f>MIN(D$8,J114)+MAX(0,MIN(J114-MIN(D$8,J114),$C114-((H114-MIN(C$8,G114)))))</f>
        <v/>
      </c>
      <c r="L114" s="23">
        <f>ROUND(J114-K114,2)</f>
        <v/>
      </c>
      <c r="M114" s="23">
        <f>ROUND(O113*(1+E$7/12),2)</f>
        <v/>
      </c>
      <c r="N114" s="23">
        <f>MIN(E$8,M114)+MAX(0,MIN(M114-MIN(E$8,M114),$C114-((H114-MIN(C$8,G114))+(K114-MIN(D$8,J114)))))</f>
        <v/>
      </c>
      <c r="O114" s="23">
        <f>ROUND(M114-N114,2)</f>
        <v/>
      </c>
      <c r="P114" s="23">
        <f>ROUND(R113*(1+F$7/12),2)</f>
        <v/>
      </c>
      <c r="Q114" s="23">
        <f>MIN(F$8,P114)+MAX(0,MIN(P114-MIN(F$8,P114),$C114-((H114-MIN(C$8,G114))+(K114-MIN(D$8,J114))+(N114-MIN(E$8,M114)))))</f>
        <v/>
      </c>
      <c r="R114" s="23">
        <f>ROUND(P114-Q114,2)</f>
        <v/>
      </c>
      <c r="S114" s="23">
        <f>ROUND(U113*(1+G$7/12),2)</f>
        <v/>
      </c>
      <c r="T114" s="23">
        <f>MIN(G$8,S114)+MAX(0,MIN(S114-MIN(G$8,S114),$C114-((H114-MIN(C$8,G114))+(K114-MIN(D$8,J114))+(N114-MIN(E$8,M114))+(Q114-MIN(F$8,P114)))))</f>
        <v/>
      </c>
      <c r="U114" s="23">
        <f>ROUND(S114-T114,2)</f>
        <v/>
      </c>
    </row>
    <row r="115">
      <c r="A115" t="n">
        <v>104</v>
      </c>
      <c r="B115" s="22">
        <f>EDATE(Debts!$B$5,103)</f>
        <v/>
      </c>
      <c r="C115" s="23">
        <f>MAX(0,Debts!$B$6-(MIN(C$8,G115)+MIN(D$8,J115)+MIN(E$8,M115)+MIN(F$8,P115)+MIN(G$8,S115)))</f>
        <v/>
      </c>
      <c r="D115" s="23">
        <f>H115+K115+N115+Q115+T115</f>
        <v/>
      </c>
      <c r="E115" s="23">
        <f>I115+L115+O115+R115+U115</f>
        <v/>
      </c>
      <c r="F115" s="23" t="n"/>
      <c r="G115" s="23">
        <f>ROUND(I114*(1+C$7/12),2)</f>
        <v/>
      </c>
      <c r="H115" s="23">
        <f>MIN(C$8,G115)+MAX(0,MIN(G115-MIN(C$8,G115),$C115-(0)))</f>
        <v/>
      </c>
      <c r="I115" s="23">
        <f>ROUND(G115-H115,2)</f>
        <v/>
      </c>
      <c r="J115" s="23">
        <f>ROUND(L114*(1+D$7/12),2)</f>
        <v/>
      </c>
      <c r="K115" s="23">
        <f>MIN(D$8,J115)+MAX(0,MIN(J115-MIN(D$8,J115),$C115-((H115-MIN(C$8,G115)))))</f>
        <v/>
      </c>
      <c r="L115" s="23">
        <f>ROUND(J115-K115,2)</f>
        <v/>
      </c>
      <c r="M115" s="23">
        <f>ROUND(O114*(1+E$7/12),2)</f>
        <v/>
      </c>
      <c r="N115" s="23">
        <f>MIN(E$8,M115)+MAX(0,MIN(M115-MIN(E$8,M115),$C115-((H115-MIN(C$8,G115))+(K115-MIN(D$8,J115)))))</f>
        <v/>
      </c>
      <c r="O115" s="23">
        <f>ROUND(M115-N115,2)</f>
        <v/>
      </c>
      <c r="P115" s="23">
        <f>ROUND(R114*(1+F$7/12),2)</f>
        <v/>
      </c>
      <c r="Q115" s="23">
        <f>MIN(F$8,P115)+MAX(0,MIN(P115-MIN(F$8,P115),$C115-((H115-MIN(C$8,G115))+(K115-MIN(D$8,J115))+(N115-MIN(E$8,M115)))))</f>
        <v/>
      </c>
      <c r="R115" s="23">
        <f>ROUND(P115-Q115,2)</f>
        <v/>
      </c>
      <c r="S115" s="23">
        <f>ROUND(U114*(1+G$7/12),2)</f>
        <v/>
      </c>
      <c r="T115" s="23">
        <f>MIN(G$8,S115)+MAX(0,MIN(S115-MIN(G$8,S115),$C115-((H115-MIN(C$8,G115))+(K115-MIN(D$8,J115))+(N115-MIN(E$8,M115))+(Q115-MIN(F$8,P115)))))</f>
        <v/>
      </c>
      <c r="U115" s="23">
        <f>ROUND(S115-T115,2)</f>
        <v/>
      </c>
    </row>
    <row r="116">
      <c r="A116" t="n">
        <v>105</v>
      </c>
      <c r="B116" s="22">
        <f>EDATE(Debts!$B$5,104)</f>
        <v/>
      </c>
      <c r="C116" s="23">
        <f>MAX(0,Debts!$B$6-(MIN(C$8,G116)+MIN(D$8,J116)+MIN(E$8,M116)+MIN(F$8,P116)+MIN(G$8,S116)))</f>
        <v/>
      </c>
      <c r="D116" s="23">
        <f>H116+K116+N116+Q116+T116</f>
        <v/>
      </c>
      <c r="E116" s="23">
        <f>I116+L116+O116+R116+U116</f>
        <v/>
      </c>
      <c r="F116" s="23" t="n"/>
      <c r="G116" s="23">
        <f>ROUND(I115*(1+C$7/12),2)</f>
        <v/>
      </c>
      <c r="H116" s="23">
        <f>MIN(C$8,G116)+MAX(0,MIN(G116-MIN(C$8,G116),$C116-(0)))</f>
        <v/>
      </c>
      <c r="I116" s="23">
        <f>ROUND(G116-H116,2)</f>
        <v/>
      </c>
      <c r="J116" s="23">
        <f>ROUND(L115*(1+D$7/12),2)</f>
        <v/>
      </c>
      <c r="K116" s="23">
        <f>MIN(D$8,J116)+MAX(0,MIN(J116-MIN(D$8,J116),$C116-((H116-MIN(C$8,G116)))))</f>
        <v/>
      </c>
      <c r="L116" s="23">
        <f>ROUND(J116-K116,2)</f>
        <v/>
      </c>
      <c r="M116" s="23">
        <f>ROUND(O115*(1+E$7/12),2)</f>
        <v/>
      </c>
      <c r="N116" s="23">
        <f>MIN(E$8,M116)+MAX(0,MIN(M116-MIN(E$8,M116),$C116-((H116-MIN(C$8,G116))+(K116-MIN(D$8,J116)))))</f>
        <v/>
      </c>
      <c r="O116" s="23">
        <f>ROUND(M116-N116,2)</f>
        <v/>
      </c>
      <c r="P116" s="23">
        <f>ROUND(R115*(1+F$7/12),2)</f>
        <v/>
      </c>
      <c r="Q116" s="23">
        <f>MIN(F$8,P116)+MAX(0,MIN(P116-MIN(F$8,P116),$C116-((H116-MIN(C$8,G116))+(K116-MIN(D$8,J116))+(N116-MIN(E$8,M116)))))</f>
        <v/>
      </c>
      <c r="R116" s="23">
        <f>ROUND(P116-Q116,2)</f>
        <v/>
      </c>
      <c r="S116" s="23">
        <f>ROUND(U115*(1+G$7/12),2)</f>
        <v/>
      </c>
      <c r="T116" s="23">
        <f>MIN(G$8,S116)+MAX(0,MIN(S116-MIN(G$8,S116),$C116-((H116-MIN(C$8,G116))+(K116-MIN(D$8,J116))+(N116-MIN(E$8,M116))+(Q116-MIN(F$8,P116)))))</f>
        <v/>
      </c>
      <c r="U116" s="23">
        <f>ROUND(S116-T116,2)</f>
        <v/>
      </c>
    </row>
    <row r="117">
      <c r="A117" t="n">
        <v>106</v>
      </c>
      <c r="B117" s="22">
        <f>EDATE(Debts!$B$5,105)</f>
        <v/>
      </c>
      <c r="C117" s="23">
        <f>MAX(0,Debts!$B$6-(MIN(C$8,G117)+MIN(D$8,J117)+MIN(E$8,M117)+MIN(F$8,P117)+MIN(G$8,S117)))</f>
        <v/>
      </c>
      <c r="D117" s="23">
        <f>H117+K117+N117+Q117+T117</f>
        <v/>
      </c>
      <c r="E117" s="23">
        <f>I117+L117+O117+R117+U117</f>
        <v/>
      </c>
      <c r="F117" s="23" t="n"/>
      <c r="G117" s="23">
        <f>ROUND(I116*(1+C$7/12),2)</f>
        <v/>
      </c>
      <c r="H117" s="23">
        <f>MIN(C$8,G117)+MAX(0,MIN(G117-MIN(C$8,G117),$C117-(0)))</f>
        <v/>
      </c>
      <c r="I117" s="23">
        <f>ROUND(G117-H117,2)</f>
        <v/>
      </c>
      <c r="J117" s="23">
        <f>ROUND(L116*(1+D$7/12),2)</f>
        <v/>
      </c>
      <c r="K117" s="23">
        <f>MIN(D$8,J117)+MAX(0,MIN(J117-MIN(D$8,J117),$C117-((H117-MIN(C$8,G117)))))</f>
        <v/>
      </c>
      <c r="L117" s="23">
        <f>ROUND(J117-K117,2)</f>
        <v/>
      </c>
      <c r="M117" s="23">
        <f>ROUND(O116*(1+E$7/12),2)</f>
        <v/>
      </c>
      <c r="N117" s="23">
        <f>MIN(E$8,M117)+MAX(0,MIN(M117-MIN(E$8,M117),$C117-((H117-MIN(C$8,G117))+(K117-MIN(D$8,J117)))))</f>
        <v/>
      </c>
      <c r="O117" s="23">
        <f>ROUND(M117-N117,2)</f>
        <v/>
      </c>
      <c r="P117" s="23">
        <f>ROUND(R116*(1+F$7/12),2)</f>
        <v/>
      </c>
      <c r="Q117" s="23">
        <f>MIN(F$8,P117)+MAX(0,MIN(P117-MIN(F$8,P117),$C117-((H117-MIN(C$8,G117))+(K117-MIN(D$8,J117))+(N117-MIN(E$8,M117)))))</f>
        <v/>
      </c>
      <c r="R117" s="23">
        <f>ROUND(P117-Q117,2)</f>
        <v/>
      </c>
      <c r="S117" s="23">
        <f>ROUND(U116*(1+G$7/12),2)</f>
        <v/>
      </c>
      <c r="T117" s="23">
        <f>MIN(G$8,S117)+MAX(0,MIN(S117-MIN(G$8,S117),$C117-((H117-MIN(C$8,G117))+(K117-MIN(D$8,J117))+(N117-MIN(E$8,M117))+(Q117-MIN(F$8,P117)))))</f>
        <v/>
      </c>
      <c r="U117" s="23">
        <f>ROUND(S117-T117,2)</f>
        <v/>
      </c>
    </row>
    <row r="118">
      <c r="A118" t="n">
        <v>107</v>
      </c>
      <c r="B118" s="22">
        <f>EDATE(Debts!$B$5,106)</f>
        <v/>
      </c>
      <c r="C118" s="23">
        <f>MAX(0,Debts!$B$6-(MIN(C$8,G118)+MIN(D$8,J118)+MIN(E$8,M118)+MIN(F$8,P118)+MIN(G$8,S118)))</f>
        <v/>
      </c>
      <c r="D118" s="23">
        <f>H118+K118+N118+Q118+T118</f>
        <v/>
      </c>
      <c r="E118" s="23">
        <f>I118+L118+O118+R118+U118</f>
        <v/>
      </c>
      <c r="F118" s="23" t="n"/>
      <c r="G118" s="23">
        <f>ROUND(I117*(1+C$7/12),2)</f>
        <v/>
      </c>
      <c r="H118" s="23">
        <f>MIN(C$8,G118)+MAX(0,MIN(G118-MIN(C$8,G118),$C118-(0)))</f>
        <v/>
      </c>
      <c r="I118" s="23">
        <f>ROUND(G118-H118,2)</f>
        <v/>
      </c>
      <c r="J118" s="23">
        <f>ROUND(L117*(1+D$7/12),2)</f>
        <v/>
      </c>
      <c r="K118" s="23">
        <f>MIN(D$8,J118)+MAX(0,MIN(J118-MIN(D$8,J118),$C118-((H118-MIN(C$8,G118)))))</f>
        <v/>
      </c>
      <c r="L118" s="23">
        <f>ROUND(J118-K118,2)</f>
        <v/>
      </c>
      <c r="M118" s="23">
        <f>ROUND(O117*(1+E$7/12),2)</f>
        <v/>
      </c>
      <c r="N118" s="23">
        <f>MIN(E$8,M118)+MAX(0,MIN(M118-MIN(E$8,M118),$C118-((H118-MIN(C$8,G118))+(K118-MIN(D$8,J118)))))</f>
        <v/>
      </c>
      <c r="O118" s="23">
        <f>ROUND(M118-N118,2)</f>
        <v/>
      </c>
      <c r="P118" s="23">
        <f>ROUND(R117*(1+F$7/12),2)</f>
        <v/>
      </c>
      <c r="Q118" s="23">
        <f>MIN(F$8,P118)+MAX(0,MIN(P118-MIN(F$8,P118),$C118-((H118-MIN(C$8,G118))+(K118-MIN(D$8,J118))+(N118-MIN(E$8,M118)))))</f>
        <v/>
      </c>
      <c r="R118" s="23">
        <f>ROUND(P118-Q118,2)</f>
        <v/>
      </c>
      <c r="S118" s="23">
        <f>ROUND(U117*(1+G$7/12),2)</f>
        <v/>
      </c>
      <c r="T118" s="23">
        <f>MIN(G$8,S118)+MAX(0,MIN(S118-MIN(G$8,S118),$C118-((H118-MIN(C$8,G118))+(K118-MIN(D$8,J118))+(N118-MIN(E$8,M118))+(Q118-MIN(F$8,P118)))))</f>
        <v/>
      </c>
      <c r="U118" s="23">
        <f>ROUND(S118-T118,2)</f>
        <v/>
      </c>
    </row>
    <row r="119">
      <c r="A119" t="n">
        <v>108</v>
      </c>
      <c r="B119" s="22">
        <f>EDATE(Debts!$B$5,107)</f>
        <v/>
      </c>
      <c r="C119" s="23">
        <f>MAX(0,Debts!$B$6-(MIN(C$8,G119)+MIN(D$8,J119)+MIN(E$8,M119)+MIN(F$8,P119)+MIN(G$8,S119)))</f>
        <v/>
      </c>
      <c r="D119" s="23">
        <f>H119+K119+N119+Q119+T119</f>
        <v/>
      </c>
      <c r="E119" s="23">
        <f>I119+L119+O119+R119+U119</f>
        <v/>
      </c>
      <c r="F119" s="23" t="n"/>
      <c r="G119" s="23">
        <f>ROUND(I118*(1+C$7/12),2)</f>
        <v/>
      </c>
      <c r="H119" s="23">
        <f>MIN(C$8,G119)+MAX(0,MIN(G119-MIN(C$8,G119),$C119-(0)))</f>
        <v/>
      </c>
      <c r="I119" s="23">
        <f>ROUND(G119-H119,2)</f>
        <v/>
      </c>
      <c r="J119" s="23">
        <f>ROUND(L118*(1+D$7/12),2)</f>
        <v/>
      </c>
      <c r="K119" s="23">
        <f>MIN(D$8,J119)+MAX(0,MIN(J119-MIN(D$8,J119),$C119-((H119-MIN(C$8,G119)))))</f>
        <v/>
      </c>
      <c r="L119" s="23">
        <f>ROUND(J119-K119,2)</f>
        <v/>
      </c>
      <c r="M119" s="23">
        <f>ROUND(O118*(1+E$7/12),2)</f>
        <v/>
      </c>
      <c r="N119" s="23">
        <f>MIN(E$8,M119)+MAX(0,MIN(M119-MIN(E$8,M119),$C119-((H119-MIN(C$8,G119))+(K119-MIN(D$8,J119)))))</f>
        <v/>
      </c>
      <c r="O119" s="23">
        <f>ROUND(M119-N119,2)</f>
        <v/>
      </c>
      <c r="P119" s="23">
        <f>ROUND(R118*(1+F$7/12),2)</f>
        <v/>
      </c>
      <c r="Q119" s="23">
        <f>MIN(F$8,P119)+MAX(0,MIN(P119-MIN(F$8,P119),$C119-((H119-MIN(C$8,G119))+(K119-MIN(D$8,J119))+(N119-MIN(E$8,M119)))))</f>
        <v/>
      </c>
      <c r="R119" s="23">
        <f>ROUND(P119-Q119,2)</f>
        <v/>
      </c>
      <c r="S119" s="23">
        <f>ROUND(U118*(1+G$7/12),2)</f>
        <v/>
      </c>
      <c r="T119" s="23">
        <f>MIN(G$8,S119)+MAX(0,MIN(S119-MIN(G$8,S119),$C119-((H119-MIN(C$8,G119))+(K119-MIN(D$8,J119))+(N119-MIN(E$8,M119))+(Q119-MIN(F$8,P119)))))</f>
        <v/>
      </c>
      <c r="U119" s="23">
        <f>ROUND(S119-T119,2)</f>
        <v/>
      </c>
    </row>
    <row r="120">
      <c r="A120" t="n">
        <v>109</v>
      </c>
      <c r="B120" s="22">
        <f>EDATE(Debts!$B$5,108)</f>
        <v/>
      </c>
      <c r="C120" s="23">
        <f>MAX(0,Debts!$B$6-(MIN(C$8,G120)+MIN(D$8,J120)+MIN(E$8,M120)+MIN(F$8,P120)+MIN(G$8,S120)))</f>
        <v/>
      </c>
      <c r="D120" s="23">
        <f>H120+K120+N120+Q120+T120</f>
        <v/>
      </c>
      <c r="E120" s="23">
        <f>I120+L120+O120+R120+U120</f>
        <v/>
      </c>
      <c r="F120" s="23" t="n"/>
      <c r="G120" s="23">
        <f>ROUND(I119*(1+C$7/12),2)</f>
        <v/>
      </c>
      <c r="H120" s="23">
        <f>MIN(C$8,G120)+MAX(0,MIN(G120-MIN(C$8,G120),$C120-(0)))</f>
        <v/>
      </c>
      <c r="I120" s="23">
        <f>ROUND(G120-H120,2)</f>
        <v/>
      </c>
      <c r="J120" s="23">
        <f>ROUND(L119*(1+D$7/12),2)</f>
        <v/>
      </c>
      <c r="K120" s="23">
        <f>MIN(D$8,J120)+MAX(0,MIN(J120-MIN(D$8,J120),$C120-((H120-MIN(C$8,G120)))))</f>
        <v/>
      </c>
      <c r="L120" s="23">
        <f>ROUND(J120-K120,2)</f>
        <v/>
      </c>
      <c r="M120" s="23">
        <f>ROUND(O119*(1+E$7/12),2)</f>
        <v/>
      </c>
      <c r="N120" s="23">
        <f>MIN(E$8,M120)+MAX(0,MIN(M120-MIN(E$8,M120),$C120-((H120-MIN(C$8,G120))+(K120-MIN(D$8,J120)))))</f>
        <v/>
      </c>
      <c r="O120" s="23">
        <f>ROUND(M120-N120,2)</f>
        <v/>
      </c>
      <c r="P120" s="23">
        <f>ROUND(R119*(1+F$7/12),2)</f>
        <v/>
      </c>
      <c r="Q120" s="23">
        <f>MIN(F$8,P120)+MAX(0,MIN(P120-MIN(F$8,P120),$C120-((H120-MIN(C$8,G120))+(K120-MIN(D$8,J120))+(N120-MIN(E$8,M120)))))</f>
        <v/>
      </c>
      <c r="R120" s="23">
        <f>ROUND(P120-Q120,2)</f>
        <v/>
      </c>
      <c r="S120" s="23">
        <f>ROUND(U119*(1+G$7/12),2)</f>
        <v/>
      </c>
      <c r="T120" s="23">
        <f>MIN(G$8,S120)+MAX(0,MIN(S120-MIN(G$8,S120),$C120-((H120-MIN(C$8,G120))+(K120-MIN(D$8,J120))+(N120-MIN(E$8,M120))+(Q120-MIN(F$8,P120)))))</f>
        <v/>
      </c>
      <c r="U120" s="23">
        <f>ROUND(S120-T120,2)</f>
        <v/>
      </c>
    </row>
    <row r="121">
      <c r="A121" t="n">
        <v>110</v>
      </c>
      <c r="B121" s="22">
        <f>EDATE(Debts!$B$5,109)</f>
        <v/>
      </c>
      <c r="C121" s="23">
        <f>MAX(0,Debts!$B$6-(MIN(C$8,G121)+MIN(D$8,J121)+MIN(E$8,M121)+MIN(F$8,P121)+MIN(G$8,S121)))</f>
        <v/>
      </c>
      <c r="D121" s="23">
        <f>H121+K121+N121+Q121+T121</f>
        <v/>
      </c>
      <c r="E121" s="23">
        <f>I121+L121+O121+R121+U121</f>
        <v/>
      </c>
      <c r="F121" s="23" t="n"/>
      <c r="G121" s="23">
        <f>ROUND(I120*(1+C$7/12),2)</f>
        <v/>
      </c>
      <c r="H121" s="23">
        <f>MIN(C$8,G121)+MAX(0,MIN(G121-MIN(C$8,G121),$C121-(0)))</f>
        <v/>
      </c>
      <c r="I121" s="23">
        <f>ROUND(G121-H121,2)</f>
        <v/>
      </c>
      <c r="J121" s="23">
        <f>ROUND(L120*(1+D$7/12),2)</f>
        <v/>
      </c>
      <c r="K121" s="23">
        <f>MIN(D$8,J121)+MAX(0,MIN(J121-MIN(D$8,J121),$C121-((H121-MIN(C$8,G121)))))</f>
        <v/>
      </c>
      <c r="L121" s="23">
        <f>ROUND(J121-K121,2)</f>
        <v/>
      </c>
      <c r="M121" s="23">
        <f>ROUND(O120*(1+E$7/12),2)</f>
        <v/>
      </c>
      <c r="N121" s="23">
        <f>MIN(E$8,M121)+MAX(0,MIN(M121-MIN(E$8,M121),$C121-((H121-MIN(C$8,G121))+(K121-MIN(D$8,J121)))))</f>
        <v/>
      </c>
      <c r="O121" s="23">
        <f>ROUND(M121-N121,2)</f>
        <v/>
      </c>
      <c r="P121" s="23">
        <f>ROUND(R120*(1+F$7/12),2)</f>
        <v/>
      </c>
      <c r="Q121" s="23">
        <f>MIN(F$8,P121)+MAX(0,MIN(P121-MIN(F$8,P121),$C121-((H121-MIN(C$8,G121))+(K121-MIN(D$8,J121))+(N121-MIN(E$8,M121)))))</f>
        <v/>
      </c>
      <c r="R121" s="23">
        <f>ROUND(P121-Q121,2)</f>
        <v/>
      </c>
      <c r="S121" s="23">
        <f>ROUND(U120*(1+G$7/12),2)</f>
        <v/>
      </c>
      <c r="T121" s="23">
        <f>MIN(G$8,S121)+MAX(0,MIN(S121-MIN(G$8,S121),$C121-((H121-MIN(C$8,G121))+(K121-MIN(D$8,J121))+(N121-MIN(E$8,M121))+(Q121-MIN(F$8,P121)))))</f>
        <v/>
      </c>
      <c r="U121" s="23">
        <f>ROUND(S121-T121,2)</f>
        <v/>
      </c>
    </row>
    <row r="122">
      <c r="A122" t="n">
        <v>111</v>
      </c>
      <c r="B122" s="22">
        <f>EDATE(Debts!$B$5,110)</f>
        <v/>
      </c>
      <c r="C122" s="23">
        <f>MAX(0,Debts!$B$6-(MIN(C$8,G122)+MIN(D$8,J122)+MIN(E$8,M122)+MIN(F$8,P122)+MIN(G$8,S122)))</f>
        <v/>
      </c>
      <c r="D122" s="23">
        <f>H122+K122+N122+Q122+T122</f>
        <v/>
      </c>
      <c r="E122" s="23">
        <f>I122+L122+O122+R122+U122</f>
        <v/>
      </c>
      <c r="F122" s="23" t="n"/>
      <c r="G122" s="23">
        <f>ROUND(I121*(1+C$7/12),2)</f>
        <v/>
      </c>
      <c r="H122" s="23">
        <f>MIN(C$8,G122)+MAX(0,MIN(G122-MIN(C$8,G122),$C122-(0)))</f>
        <v/>
      </c>
      <c r="I122" s="23">
        <f>ROUND(G122-H122,2)</f>
        <v/>
      </c>
      <c r="J122" s="23">
        <f>ROUND(L121*(1+D$7/12),2)</f>
        <v/>
      </c>
      <c r="K122" s="23">
        <f>MIN(D$8,J122)+MAX(0,MIN(J122-MIN(D$8,J122),$C122-((H122-MIN(C$8,G122)))))</f>
        <v/>
      </c>
      <c r="L122" s="23">
        <f>ROUND(J122-K122,2)</f>
        <v/>
      </c>
      <c r="M122" s="23">
        <f>ROUND(O121*(1+E$7/12),2)</f>
        <v/>
      </c>
      <c r="N122" s="23">
        <f>MIN(E$8,M122)+MAX(0,MIN(M122-MIN(E$8,M122),$C122-((H122-MIN(C$8,G122))+(K122-MIN(D$8,J122)))))</f>
        <v/>
      </c>
      <c r="O122" s="23">
        <f>ROUND(M122-N122,2)</f>
        <v/>
      </c>
      <c r="P122" s="23">
        <f>ROUND(R121*(1+F$7/12),2)</f>
        <v/>
      </c>
      <c r="Q122" s="23">
        <f>MIN(F$8,P122)+MAX(0,MIN(P122-MIN(F$8,P122),$C122-((H122-MIN(C$8,G122))+(K122-MIN(D$8,J122))+(N122-MIN(E$8,M122)))))</f>
        <v/>
      </c>
      <c r="R122" s="23">
        <f>ROUND(P122-Q122,2)</f>
        <v/>
      </c>
      <c r="S122" s="23">
        <f>ROUND(U121*(1+G$7/12),2)</f>
        <v/>
      </c>
      <c r="T122" s="23">
        <f>MIN(G$8,S122)+MAX(0,MIN(S122-MIN(G$8,S122),$C122-((H122-MIN(C$8,G122))+(K122-MIN(D$8,J122))+(N122-MIN(E$8,M122))+(Q122-MIN(F$8,P122)))))</f>
        <v/>
      </c>
      <c r="U122" s="23">
        <f>ROUND(S122-T122,2)</f>
        <v/>
      </c>
    </row>
    <row r="123">
      <c r="A123" t="n">
        <v>112</v>
      </c>
      <c r="B123" s="22">
        <f>EDATE(Debts!$B$5,111)</f>
        <v/>
      </c>
      <c r="C123" s="23">
        <f>MAX(0,Debts!$B$6-(MIN(C$8,G123)+MIN(D$8,J123)+MIN(E$8,M123)+MIN(F$8,P123)+MIN(G$8,S123)))</f>
        <v/>
      </c>
      <c r="D123" s="23">
        <f>H123+K123+N123+Q123+T123</f>
        <v/>
      </c>
      <c r="E123" s="23">
        <f>I123+L123+O123+R123+U123</f>
        <v/>
      </c>
      <c r="F123" s="23" t="n"/>
      <c r="G123" s="23">
        <f>ROUND(I122*(1+C$7/12),2)</f>
        <v/>
      </c>
      <c r="H123" s="23">
        <f>MIN(C$8,G123)+MAX(0,MIN(G123-MIN(C$8,G123),$C123-(0)))</f>
        <v/>
      </c>
      <c r="I123" s="23">
        <f>ROUND(G123-H123,2)</f>
        <v/>
      </c>
      <c r="J123" s="23">
        <f>ROUND(L122*(1+D$7/12),2)</f>
        <v/>
      </c>
      <c r="K123" s="23">
        <f>MIN(D$8,J123)+MAX(0,MIN(J123-MIN(D$8,J123),$C123-((H123-MIN(C$8,G123)))))</f>
        <v/>
      </c>
      <c r="L123" s="23">
        <f>ROUND(J123-K123,2)</f>
        <v/>
      </c>
      <c r="M123" s="23">
        <f>ROUND(O122*(1+E$7/12),2)</f>
        <v/>
      </c>
      <c r="N123" s="23">
        <f>MIN(E$8,M123)+MAX(0,MIN(M123-MIN(E$8,M123),$C123-((H123-MIN(C$8,G123))+(K123-MIN(D$8,J123)))))</f>
        <v/>
      </c>
      <c r="O123" s="23">
        <f>ROUND(M123-N123,2)</f>
        <v/>
      </c>
      <c r="P123" s="23">
        <f>ROUND(R122*(1+F$7/12),2)</f>
        <v/>
      </c>
      <c r="Q123" s="23">
        <f>MIN(F$8,P123)+MAX(0,MIN(P123-MIN(F$8,P123),$C123-((H123-MIN(C$8,G123))+(K123-MIN(D$8,J123))+(N123-MIN(E$8,M123)))))</f>
        <v/>
      </c>
      <c r="R123" s="23">
        <f>ROUND(P123-Q123,2)</f>
        <v/>
      </c>
      <c r="S123" s="23">
        <f>ROUND(U122*(1+G$7/12),2)</f>
        <v/>
      </c>
      <c r="T123" s="23">
        <f>MIN(G$8,S123)+MAX(0,MIN(S123-MIN(G$8,S123),$C123-((H123-MIN(C$8,G123))+(K123-MIN(D$8,J123))+(N123-MIN(E$8,M123))+(Q123-MIN(F$8,P123)))))</f>
        <v/>
      </c>
      <c r="U123" s="23">
        <f>ROUND(S123-T123,2)</f>
        <v/>
      </c>
    </row>
    <row r="124">
      <c r="A124" t="n">
        <v>113</v>
      </c>
      <c r="B124" s="22">
        <f>EDATE(Debts!$B$5,112)</f>
        <v/>
      </c>
      <c r="C124" s="23">
        <f>MAX(0,Debts!$B$6-(MIN(C$8,G124)+MIN(D$8,J124)+MIN(E$8,M124)+MIN(F$8,P124)+MIN(G$8,S124)))</f>
        <v/>
      </c>
      <c r="D124" s="23">
        <f>H124+K124+N124+Q124+T124</f>
        <v/>
      </c>
      <c r="E124" s="23">
        <f>I124+L124+O124+R124+U124</f>
        <v/>
      </c>
      <c r="F124" s="23" t="n"/>
      <c r="G124" s="23">
        <f>ROUND(I123*(1+C$7/12),2)</f>
        <v/>
      </c>
      <c r="H124" s="23">
        <f>MIN(C$8,G124)+MAX(0,MIN(G124-MIN(C$8,G124),$C124-(0)))</f>
        <v/>
      </c>
      <c r="I124" s="23">
        <f>ROUND(G124-H124,2)</f>
        <v/>
      </c>
      <c r="J124" s="23">
        <f>ROUND(L123*(1+D$7/12),2)</f>
        <v/>
      </c>
      <c r="K124" s="23">
        <f>MIN(D$8,J124)+MAX(0,MIN(J124-MIN(D$8,J124),$C124-((H124-MIN(C$8,G124)))))</f>
        <v/>
      </c>
      <c r="L124" s="23">
        <f>ROUND(J124-K124,2)</f>
        <v/>
      </c>
      <c r="M124" s="23">
        <f>ROUND(O123*(1+E$7/12),2)</f>
        <v/>
      </c>
      <c r="N124" s="23">
        <f>MIN(E$8,M124)+MAX(0,MIN(M124-MIN(E$8,M124),$C124-((H124-MIN(C$8,G124))+(K124-MIN(D$8,J124)))))</f>
        <v/>
      </c>
      <c r="O124" s="23">
        <f>ROUND(M124-N124,2)</f>
        <v/>
      </c>
      <c r="P124" s="23">
        <f>ROUND(R123*(1+F$7/12),2)</f>
        <v/>
      </c>
      <c r="Q124" s="23">
        <f>MIN(F$8,P124)+MAX(0,MIN(P124-MIN(F$8,P124),$C124-((H124-MIN(C$8,G124))+(K124-MIN(D$8,J124))+(N124-MIN(E$8,M124)))))</f>
        <v/>
      </c>
      <c r="R124" s="23">
        <f>ROUND(P124-Q124,2)</f>
        <v/>
      </c>
      <c r="S124" s="23">
        <f>ROUND(U123*(1+G$7/12),2)</f>
        <v/>
      </c>
      <c r="T124" s="23">
        <f>MIN(G$8,S124)+MAX(0,MIN(S124-MIN(G$8,S124),$C124-((H124-MIN(C$8,G124))+(K124-MIN(D$8,J124))+(N124-MIN(E$8,M124))+(Q124-MIN(F$8,P124)))))</f>
        <v/>
      </c>
      <c r="U124" s="23">
        <f>ROUND(S124-T124,2)</f>
        <v/>
      </c>
    </row>
    <row r="125">
      <c r="A125" t="n">
        <v>114</v>
      </c>
      <c r="B125" s="22">
        <f>EDATE(Debts!$B$5,113)</f>
        <v/>
      </c>
      <c r="C125" s="23">
        <f>MAX(0,Debts!$B$6-(MIN(C$8,G125)+MIN(D$8,J125)+MIN(E$8,M125)+MIN(F$8,P125)+MIN(G$8,S125)))</f>
        <v/>
      </c>
      <c r="D125" s="23">
        <f>H125+K125+N125+Q125+T125</f>
        <v/>
      </c>
      <c r="E125" s="23">
        <f>I125+L125+O125+R125+U125</f>
        <v/>
      </c>
      <c r="F125" s="23" t="n"/>
      <c r="G125" s="23">
        <f>ROUND(I124*(1+C$7/12),2)</f>
        <v/>
      </c>
      <c r="H125" s="23">
        <f>MIN(C$8,G125)+MAX(0,MIN(G125-MIN(C$8,G125),$C125-(0)))</f>
        <v/>
      </c>
      <c r="I125" s="23">
        <f>ROUND(G125-H125,2)</f>
        <v/>
      </c>
      <c r="J125" s="23">
        <f>ROUND(L124*(1+D$7/12),2)</f>
        <v/>
      </c>
      <c r="K125" s="23">
        <f>MIN(D$8,J125)+MAX(0,MIN(J125-MIN(D$8,J125),$C125-((H125-MIN(C$8,G125)))))</f>
        <v/>
      </c>
      <c r="L125" s="23">
        <f>ROUND(J125-K125,2)</f>
        <v/>
      </c>
      <c r="M125" s="23">
        <f>ROUND(O124*(1+E$7/12),2)</f>
        <v/>
      </c>
      <c r="N125" s="23">
        <f>MIN(E$8,M125)+MAX(0,MIN(M125-MIN(E$8,M125),$C125-((H125-MIN(C$8,G125))+(K125-MIN(D$8,J125)))))</f>
        <v/>
      </c>
      <c r="O125" s="23">
        <f>ROUND(M125-N125,2)</f>
        <v/>
      </c>
      <c r="P125" s="23">
        <f>ROUND(R124*(1+F$7/12),2)</f>
        <v/>
      </c>
      <c r="Q125" s="23">
        <f>MIN(F$8,P125)+MAX(0,MIN(P125-MIN(F$8,P125),$C125-((H125-MIN(C$8,G125))+(K125-MIN(D$8,J125))+(N125-MIN(E$8,M125)))))</f>
        <v/>
      </c>
      <c r="R125" s="23">
        <f>ROUND(P125-Q125,2)</f>
        <v/>
      </c>
      <c r="S125" s="23">
        <f>ROUND(U124*(1+G$7/12),2)</f>
        <v/>
      </c>
      <c r="T125" s="23">
        <f>MIN(G$8,S125)+MAX(0,MIN(S125-MIN(G$8,S125),$C125-((H125-MIN(C$8,G125))+(K125-MIN(D$8,J125))+(N125-MIN(E$8,M125))+(Q125-MIN(F$8,P125)))))</f>
        <v/>
      </c>
      <c r="U125" s="23">
        <f>ROUND(S125-T125,2)</f>
        <v/>
      </c>
    </row>
    <row r="126">
      <c r="A126" t="n">
        <v>115</v>
      </c>
      <c r="B126" s="22">
        <f>EDATE(Debts!$B$5,114)</f>
        <v/>
      </c>
      <c r="C126" s="23">
        <f>MAX(0,Debts!$B$6-(MIN(C$8,G126)+MIN(D$8,J126)+MIN(E$8,M126)+MIN(F$8,P126)+MIN(G$8,S126)))</f>
        <v/>
      </c>
      <c r="D126" s="23">
        <f>H126+K126+N126+Q126+T126</f>
        <v/>
      </c>
      <c r="E126" s="23">
        <f>I126+L126+O126+R126+U126</f>
        <v/>
      </c>
      <c r="F126" s="23" t="n"/>
      <c r="G126" s="23">
        <f>ROUND(I125*(1+C$7/12),2)</f>
        <v/>
      </c>
      <c r="H126" s="23">
        <f>MIN(C$8,G126)+MAX(0,MIN(G126-MIN(C$8,G126),$C126-(0)))</f>
        <v/>
      </c>
      <c r="I126" s="23">
        <f>ROUND(G126-H126,2)</f>
        <v/>
      </c>
      <c r="J126" s="23">
        <f>ROUND(L125*(1+D$7/12),2)</f>
        <v/>
      </c>
      <c r="K126" s="23">
        <f>MIN(D$8,J126)+MAX(0,MIN(J126-MIN(D$8,J126),$C126-((H126-MIN(C$8,G126)))))</f>
        <v/>
      </c>
      <c r="L126" s="23">
        <f>ROUND(J126-K126,2)</f>
        <v/>
      </c>
      <c r="M126" s="23">
        <f>ROUND(O125*(1+E$7/12),2)</f>
        <v/>
      </c>
      <c r="N126" s="23">
        <f>MIN(E$8,M126)+MAX(0,MIN(M126-MIN(E$8,M126),$C126-((H126-MIN(C$8,G126))+(K126-MIN(D$8,J126)))))</f>
        <v/>
      </c>
      <c r="O126" s="23">
        <f>ROUND(M126-N126,2)</f>
        <v/>
      </c>
      <c r="P126" s="23">
        <f>ROUND(R125*(1+F$7/12),2)</f>
        <v/>
      </c>
      <c r="Q126" s="23">
        <f>MIN(F$8,P126)+MAX(0,MIN(P126-MIN(F$8,P126),$C126-((H126-MIN(C$8,G126))+(K126-MIN(D$8,J126))+(N126-MIN(E$8,M126)))))</f>
        <v/>
      </c>
      <c r="R126" s="23">
        <f>ROUND(P126-Q126,2)</f>
        <v/>
      </c>
      <c r="S126" s="23">
        <f>ROUND(U125*(1+G$7/12),2)</f>
        <v/>
      </c>
      <c r="T126" s="23">
        <f>MIN(G$8,S126)+MAX(0,MIN(S126-MIN(G$8,S126),$C126-((H126-MIN(C$8,G126))+(K126-MIN(D$8,J126))+(N126-MIN(E$8,M126))+(Q126-MIN(F$8,P126)))))</f>
        <v/>
      </c>
      <c r="U126" s="23">
        <f>ROUND(S126-T126,2)</f>
        <v/>
      </c>
    </row>
    <row r="127">
      <c r="A127" t="n">
        <v>116</v>
      </c>
      <c r="B127" s="22">
        <f>EDATE(Debts!$B$5,115)</f>
        <v/>
      </c>
      <c r="C127" s="23">
        <f>MAX(0,Debts!$B$6-(MIN(C$8,G127)+MIN(D$8,J127)+MIN(E$8,M127)+MIN(F$8,P127)+MIN(G$8,S127)))</f>
        <v/>
      </c>
      <c r="D127" s="23">
        <f>H127+K127+N127+Q127+T127</f>
        <v/>
      </c>
      <c r="E127" s="23">
        <f>I127+L127+O127+R127+U127</f>
        <v/>
      </c>
      <c r="F127" s="23" t="n"/>
      <c r="G127" s="23">
        <f>ROUND(I126*(1+C$7/12),2)</f>
        <v/>
      </c>
      <c r="H127" s="23">
        <f>MIN(C$8,G127)+MAX(0,MIN(G127-MIN(C$8,G127),$C127-(0)))</f>
        <v/>
      </c>
      <c r="I127" s="23">
        <f>ROUND(G127-H127,2)</f>
        <v/>
      </c>
      <c r="J127" s="23">
        <f>ROUND(L126*(1+D$7/12),2)</f>
        <v/>
      </c>
      <c r="K127" s="23">
        <f>MIN(D$8,J127)+MAX(0,MIN(J127-MIN(D$8,J127),$C127-((H127-MIN(C$8,G127)))))</f>
        <v/>
      </c>
      <c r="L127" s="23">
        <f>ROUND(J127-K127,2)</f>
        <v/>
      </c>
      <c r="M127" s="23">
        <f>ROUND(O126*(1+E$7/12),2)</f>
        <v/>
      </c>
      <c r="N127" s="23">
        <f>MIN(E$8,M127)+MAX(0,MIN(M127-MIN(E$8,M127),$C127-((H127-MIN(C$8,G127))+(K127-MIN(D$8,J127)))))</f>
        <v/>
      </c>
      <c r="O127" s="23">
        <f>ROUND(M127-N127,2)</f>
        <v/>
      </c>
      <c r="P127" s="23">
        <f>ROUND(R126*(1+F$7/12),2)</f>
        <v/>
      </c>
      <c r="Q127" s="23">
        <f>MIN(F$8,P127)+MAX(0,MIN(P127-MIN(F$8,P127),$C127-((H127-MIN(C$8,G127))+(K127-MIN(D$8,J127))+(N127-MIN(E$8,M127)))))</f>
        <v/>
      </c>
      <c r="R127" s="23">
        <f>ROUND(P127-Q127,2)</f>
        <v/>
      </c>
      <c r="S127" s="23">
        <f>ROUND(U126*(1+G$7/12),2)</f>
        <v/>
      </c>
      <c r="T127" s="23">
        <f>MIN(G$8,S127)+MAX(0,MIN(S127-MIN(G$8,S127),$C127-((H127-MIN(C$8,G127))+(K127-MIN(D$8,J127))+(N127-MIN(E$8,M127))+(Q127-MIN(F$8,P127)))))</f>
        <v/>
      </c>
      <c r="U127" s="23">
        <f>ROUND(S127-T127,2)</f>
        <v/>
      </c>
    </row>
    <row r="128">
      <c r="A128" t="n">
        <v>117</v>
      </c>
      <c r="B128" s="22">
        <f>EDATE(Debts!$B$5,116)</f>
        <v/>
      </c>
      <c r="C128" s="23">
        <f>MAX(0,Debts!$B$6-(MIN(C$8,G128)+MIN(D$8,J128)+MIN(E$8,M128)+MIN(F$8,P128)+MIN(G$8,S128)))</f>
        <v/>
      </c>
      <c r="D128" s="23">
        <f>H128+K128+N128+Q128+T128</f>
        <v/>
      </c>
      <c r="E128" s="23">
        <f>I128+L128+O128+R128+U128</f>
        <v/>
      </c>
      <c r="F128" s="23" t="n"/>
      <c r="G128" s="23">
        <f>ROUND(I127*(1+C$7/12),2)</f>
        <v/>
      </c>
      <c r="H128" s="23">
        <f>MIN(C$8,G128)+MAX(0,MIN(G128-MIN(C$8,G128),$C128-(0)))</f>
        <v/>
      </c>
      <c r="I128" s="23">
        <f>ROUND(G128-H128,2)</f>
        <v/>
      </c>
      <c r="J128" s="23">
        <f>ROUND(L127*(1+D$7/12),2)</f>
        <v/>
      </c>
      <c r="K128" s="23">
        <f>MIN(D$8,J128)+MAX(0,MIN(J128-MIN(D$8,J128),$C128-((H128-MIN(C$8,G128)))))</f>
        <v/>
      </c>
      <c r="L128" s="23">
        <f>ROUND(J128-K128,2)</f>
        <v/>
      </c>
      <c r="M128" s="23">
        <f>ROUND(O127*(1+E$7/12),2)</f>
        <v/>
      </c>
      <c r="N128" s="23">
        <f>MIN(E$8,M128)+MAX(0,MIN(M128-MIN(E$8,M128),$C128-((H128-MIN(C$8,G128))+(K128-MIN(D$8,J128)))))</f>
        <v/>
      </c>
      <c r="O128" s="23">
        <f>ROUND(M128-N128,2)</f>
        <v/>
      </c>
      <c r="P128" s="23">
        <f>ROUND(R127*(1+F$7/12),2)</f>
        <v/>
      </c>
      <c r="Q128" s="23">
        <f>MIN(F$8,P128)+MAX(0,MIN(P128-MIN(F$8,P128),$C128-((H128-MIN(C$8,G128))+(K128-MIN(D$8,J128))+(N128-MIN(E$8,M128)))))</f>
        <v/>
      </c>
      <c r="R128" s="23">
        <f>ROUND(P128-Q128,2)</f>
        <v/>
      </c>
      <c r="S128" s="23">
        <f>ROUND(U127*(1+G$7/12),2)</f>
        <v/>
      </c>
      <c r="T128" s="23">
        <f>MIN(G$8,S128)+MAX(0,MIN(S128-MIN(G$8,S128),$C128-((H128-MIN(C$8,G128))+(K128-MIN(D$8,J128))+(N128-MIN(E$8,M128))+(Q128-MIN(F$8,P128)))))</f>
        <v/>
      </c>
      <c r="U128" s="23">
        <f>ROUND(S128-T128,2)</f>
        <v/>
      </c>
    </row>
    <row r="129">
      <c r="A129" t="n">
        <v>118</v>
      </c>
      <c r="B129" s="22">
        <f>EDATE(Debts!$B$5,117)</f>
        <v/>
      </c>
      <c r="C129" s="23">
        <f>MAX(0,Debts!$B$6-(MIN(C$8,G129)+MIN(D$8,J129)+MIN(E$8,M129)+MIN(F$8,P129)+MIN(G$8,S129)))</f>
        <v/>
      </c>
      <c r="D129" s="23">
        <f>H129+K129+N129+Q129+T129</f>
        <v/>
      </c>
      <c r="E129" s="23">
        <f>I129+L129+O129+R129+U129</f>
        <v/>
      </c>
      <c r="F129" s="23" t="n"/>
      <c r="G129" s="23">
        <f>ROUND(I128*(1+C$7/12),2)</f>
        <v/>
      </c>
      <c r="H129" s="23">
        <f>MIN(C$8,G129)+MAX(0,MIN(G129-MIN(C$8,G129),$C129-(0)))</f>
        <v/>
      </c>
      <c r="I129" s="23">
        <f>ROUND(G129-H129,2)</f>
        <v/>
      </c>
      <c r="J129" s="23">
        <f>ROUND(L128*(1+D$7/12),2)</f>
        <v/>
      </c>
      <c r="K129" s="23">
        <f>MIN(D$8,J129)+MAX(0,MIN(J129-MIN(D$8,J129),$C129-((H129-MIN(C$8,G129)))))</f>
        <v/>
      </c>
      <c r="L129" s="23">
        <f>ROUND(J129-K129,2)</f>
        <v/>
      </c>
      <c r="M129" s="23">
        <f>ROUND(O128*(1+E$7/12),2)</f>
        <v/>
      </c>
      <c r="N129" s="23">
        <f>MIN(E$8,M129)+MAX(0,MIN(M129-MIN(E$8,M129),$C129-((H129-MIN(C$8,G129))+(K129-MIN(D$8,J129)))))</f>
        <v/>
      </c>
      <c r="O129" s="23">
        <f>ROUND(M129-N129,2)</f>
        <v/>
      </c>
      <c r="P129" s="23">
        <f>ROUND(R128*(1+F$7/12),2)</f>
        <v/>
      </c>
      <c r="Q129" s="23">
        <f>MIN(F$8,P129)+MAX(0,MIN(P129-MIN(F$8,P129),$C129-((H129-MIN(C$8,G129))+(K129-MIN(D$8,J129))+(N129-MIN(E$8,M129)))))</f>
        <v/>
      </c>
      <c r="R129" s="23">
        <f>ROUND(P129-Q129,2)</f>
        <v/>
      </c>
      <c r="S129" s="23">
        <f>ROUND(U128*(1+G$7/12),2)</f>
        <v/>
      </c>
      <c r="T129" s="23">
        <f>MIN(G$8,S129)+MAX(0,MIN(S129-MIN(G$8,S129),$C129-((H129-MIN(C$8,G129))+(K129-MIN(D$8,J129))+(N129-MIN(E$8,M129))+(Q129-MIN(F$8,P129)))))</f>
        <v/>
      </c>
      <c r="U129" s="23">
        <f>ROUND(S129-T129,2)</f>
        <v/>
      </c>
    </row>
    <row r="130">
      <c r="A130" t="n">
        <v>119</v>
      </c>
      <c r="B130" s="22">
        <f>EDATE(Debts!$B$5,118)</f>
        <v/>
      </c>
      <c r="C130" s="23">
        <f>MAX(0,Debts!$B$6-(MIN(C$8,G130)+MIN(D$8,J130)+MIN(E$8,M130)+MIN(F$8,P130)+MIN(G$8,S130)))</f>
        <v/>
      </c>
      <c r="D130" s="23">
        <f>H130+K130+N130+Q130+T130</f>
        <v/>
      </c>
      <c r="E130" s="23">
        <f>I130+L130+O130+R130+U130</f>
        <v/>
      </c>
      <c r="F130" s="23" t="n"/>
      <c r="G130" s="23">
        <f>ROUND(I129*(1+C$7/12),2)</f>
        <v/>
      </c>
      <c r="H130" s="23">
        <f>MIN(C$8,G130)+MAX(0,MIN(G130-MIN(C$8,G130),$C130-(0)))</f>
        <v/>
      </c>
      <c r="I130" s="23">
        <f>ROUND(G130-H130,2)</f>
        <v/>
      </c>
      <c r="J130" s="23">
        <f>ROUND(L129*(1+D$7/12),2)</f>
        <v/>
      </c>
      <c r="K130" s="23">
        <f>MIN(D$8,J130)+MAX(0,MIN(J130-MIN(D$8,J130),$C130-((H130-MIN(C$8,G130)))))</f>
        <v/>
      </c>
      <c r="L130" s="23">
        <f>ROUND(J130-K130,2)</f>
        <v/>
      </c>
      <c r="M130" s="23">
        <f>ROUND(O129*(1+E$7/12),2)</f>
        <v/>
      </c>
      <c r="N130" s="23">
        <f>MIN(E$8,M130)+MAX(0,MIN(M130-MIN(E$8,M130),$C130-((H130-MIN(C$8,G130))+(K130-MIN(D$8,J130)))))</f>
        <v/>
      </c>
      <c r="O130" s="23">
        <f>ROUND(M130-N130,2)</f>
        <v/>
      </c>
      <c r="P130" s="23">
        <f>ROUND(R129*(1+F$7/12),2)</f>
        <v/>
      </c>
      <c r="Q130" s="23">
        <f>MIN(F$8,P130)+MAX(0,MIN(P130-MIN(F$8,P130),$C130-((H130-MIN(C$8,G130))+(K130-MIN(D$8,J130))+(N130-MIN(E$8,M130)))))</f>
        <v/>
      </c>
      <c r="R130" s="23">
        <f>ROUND(P130-Q130,2)</f>
        <v/>
      </c>
      <c r="S130" s="23">
        <f>ROUND(U129*(1+G$7/12),2)</f>
        <v/>
      </c>
      <c r="T130" s="23">
        <f>MIN(G$8,S130)+MAX(0,MIN(S130-MIN(G$8,S130),$C130-((H130-MIN(C$8,G130))+(K130-MIN(D$8,J130))+(N130-MIN(E$8,M130))+(Q130-MIN(F$8,P130)))))</f>
        <v/>
      </c>
      <c r="U130" s="23">
        <f>ROUND(S130-T130,2)</f>
        <v/>
      </c>
    </row>
    <row r="131">
      <c r="A131" t="n">
        <v>120</v>
      </c>
      <c r="B131" s="22">
        <f>EDATE(Debts!$B$5,119)</f>
        <v/>
      </c>
      <c r="C131" s="23">
        <f>MAX(0,Debts!$B$6-(MIN(C$8,G131)+MIN(D$8,J131)+MIN(E$8,M131)+MIN(F$8,P131)+MIN(G$8,S131)))</f>
        <v/>
      </c>
      <c r="D131" s="23">
        <f>H131+K131+N131+Q131+T131</f>
        <v/>
      </c>
      <c r="E131" s="23">
        <f>I131+L131+O131+R131+U131</f>
        <v/>
      </c>
      <c r="F131" s="23" t="n"/>
      <c r="G131" s="23">
        <f>ROUND(I130*(1+C$7/12),2)</f>
        <v/>
      </c>
      <c r="H131" s="23">
        <f>MIN(C$8,G131)+MAX(0,MIN(G131-MIN(C$8,G131),$C131-(0)))</f>
        <v/>
      </c>
      <c r="I131" s="23">
        <f>ROUND(G131-H131,2)</f>
        <v/>
      </c>
      <c r="J131" s="23">
        <f>ROUND(L130*(1+D$7/12),2)</f>
        <v/>
      </c>
      <c r="K131" s="23">
        <f>MIN(D$8,J131)+MAX(0,MIN(J131-MIN(D$8,J131),$C131-((H131-MIN(C$8,G131)))))</f>
        <v/>
      </c>
      <c r="L131" s="23">
        <f>ROUND(J131-K131,2)</f>
        <v/>
      </c>
      <c r="M131" s="23">
        <f>ROUND(O130*(1+E$7/12),2)</f>
        <v/>
      </c>
      <c r="N131" s="23">
        <f>MIN(E$8,M131)+MAX(0,MIN(M131-MIN(E$8,M131),$C131-((H131-MIN(C$8,G131))+(K131-MIN(D$8,J131)))))</f>
        <v/>
      </c>
      <c r="O131" s="23">
        <f>ROUND(M131-N131,2)</f>
        <v/>
      </c>
      <c r="P131" s="23">
        <f>ROUND(R130*(1+F$7/12),2)</f>
        <v/>
      </c>
      <c r="Q131" s="23">
        <f>MIN(F$8,P131)+MAX(0,MIN(P131-MIN(F$8,P131),$C131-((H131-MIN(C$8,G131))+(K131-MIN(D$8,J131))+(N131-MIN(E$8,M131)))))</f>
        <v/>
      </c>
      <c r="R131" s="23">
        <f>ROUND(P131-Q131,2)</f>
        <v/>
      </c>
      <c r="S131" s="23">
        <f>ROUND(U130*(1+G$7/12),2)</f>
        <v/>
      </c>
      <c r="T131" s="23">
        <f>MIN(G$8,S131)+MAX(0,MIN(S131-MIN(G$8,S131),$C131-((H131-MIN(C$8,G131))+(K131-MIN(D$8,J131))+(N131-MIN(E$8,M131))+(Q131-MIN(F$8,P131)))))</f>
        <v/>
      </c>
      <c r="U131" s="23">
        <f>ROUND(S131-T131,2)</f>
        <v/>
      </c>
    </row>
    <row r="132">
      <c r="A132" t="n">
        <v>121</v>
      </c>
      <c r="B132" s="22">
        <f>EDATE(Debts!$B$5,120)</f>
        <v/>
      </c>
      <c r="C132" s="23">
        <f>MAX(0,Debts!$B$6-(MIN(C$8,G132)+MIN(D$8,J132)+MIN(E$8,M132)+MIN(F$8,P132)+MIN(G$8,S132)))</f>
        <v/>
      </c>
      <c r="D132" s="23">
        <f>H132+K132+N132+Q132+T132</f>
        <v/>
      </c>
      <c r="E132" s="23">
        <f>I132+L132+O132+R132+U132</f>
        <v/>
      </c>
      <c r="F132" s="23" t="n"/>
      <c r="G132" s="23">
        <f>ROUND(I131*(1+C$7/12),2)</f>
        <v/>
      </c>
      <c r="H132" s="23">
        <f>MIN(C$8,G132)+MAX(0,MIN(G132-MIN(C$8,G132),$C132-(0)))</f>
        <v/>
      </c>
      <c r="I132" s="23">
        <f>ROUND(G132-H132,2)</f>
        <v/>
      </c>
      <c r="J132" s="23">
        <f>ROUND(L131*(1+D$7/12),2)</f>
        <v/>
      </c>
      <c r="K132" s="23">
        <f>MIN(D$8,J132)+MAX(0,MIN(J132-MIN(D$8,J132),$C132-((H132-MIN(C$8,G132)))))</f>
        <v/>
      </c>
      <c r="L132" s="23">
        <f>ROUND(J132-K132,2)</f>
        <v/>
      </c>
      <c r="M132" s="23">
        <f>ROUND(O131*(1+E$7/12),2)</f>
        <v/>
      </c>
      <c r="N132" s="23">
        <f>MIN(E$8,M132)+MAX(0,MIN(M132-MIN(E$8,M132),$C132-((H132-MIN(C$8,G132))+(K132-MIN(D$8,J132)))))</f>
        <v/>
      </c>
      <c r="O132" s="23">
        <f>ROUND(M132-N132,2)</f>
        <v/>
      </c>
      <c r="P132" s="23">
        <f>ROUND(R131*(1+F$7/12),2)</f>
        <v/>
      </c>
      <c r="Q132" s="23">
        <f>MIN(F$8,P132)+MAX(0,MIN(P132-MIN(F$8,P132),$C132-((H132-MIN(C$8,G132))+(K132-MIN(D$8,J132))+(N132-MIN(E$8,M132)))))</f>
        <v/>
      </c>
      <c r="R132" s="23">
        <f>ROUND(P132-Q132,2)</f>
        <v/>
      </c>
      <c r="S132" s="23">
        <f>ROUND(U131*(1+G$7/12),2)</f>
        <v/>
      </c>
      <c r="T132" s="23">
        <f>MIN(G$8,S132)+MAX(0,MIN(S132-MIN(G$8,S132),$C132-((H132-MIN(C$8,G132))+(K132-MIN(D$8,J132))+(N132-MIN(E$8,M132))+(Q132-MIN(F$8,P132)))))</f>
        <v/>
      </c>
      <c r="U132" s="23">
        <f>ROUND(S132-T132,2)</f>
        <v/>
      </c>
    </row>
    <row r="133">
      <c r="A133" t="n">
        <v>122</v>
      </c>
      <c r="B133" s="22">
        <f>EDATE(Debts!$B$5,121)</f>
        <v/>
      </c>
      <c r="C133" s="23">
        <f>MAX(0,Debts!$B$6-(MIN(C$8,G133)+MIN(D$8,J133)+MIN(E$8,M133)+MIN(F$8,P133)+MIN(G$8,S133)))</f>
        <v/>
      </c>
      <c r="D133" s="23">
        <f>H133+K133+N133+Q133+T133</f>
        <v/>
      </c>
      <c r="E133" s="23">
        <f>I133+L133+O133+R133+U133</f>
        <v/>
      </c>
      <c r="F133" s="23" t="n"/>
      <c r="G133" s="23">
        <f>ROUND(I132*(1+C$7/12),2)</f>
        <v/>
      </c>
      <c r="H133" s="23">
        <f>MIN(C$8,G133)+MAX(0,MIN(G133-MIN(C$8,G133),$C133-(0)))</f>
        <v/>
      </c>
      <c r="I133" s="23">
        <f>ROUND(G133-H133,2)</f>
        <v/>
      </c>
      <c r="J133" s="23">
        <f>ROUND(L132*(1+D$7/12),2)</f>
        <v/>
      </c>
      <c r="K133" s="23">
        <f>MIN(D$8,J133)+MAX(0,MIN(J133-MIN(D$8,J133),$C133-((H133-MIN(C$8,G133)))))</f>
        <v/>
      </c>
      <c r="L133" s="23">
        <f>ROUND(J133-K133,2)</f>
        <v/>
      </c>
      <c r="M133" s="23">
        <f>ROUND(O132*(1+E$7/12),2)</f>
        <v/>
      </c>
      <c r="N133" s="23">
        <f>MIN(E$8,M133)+MAX(0,MIN(M133-MIN(E$8,M133),$C133-((H133-MIN(C$8,G133))+(K133-MIN(D$8,J133)))))</f>
        <v/>
      </c>
      <c r="O133" s="23">
        <f>ROUND(M133-N133,2)</f>
        <v/>
      </c>
      <c r="P133" s="23">
        <f>ROUND(R132*(1+F$7/12),2)</f>
        <v/>
      </c>
      <c r="Q133" s="23">
        <f>MIN(F$8,P133)+MAX(0,MIN(P133-MIN(F$8,P133),$C133-((H133-MIN(C$8,G133))+(K133-MIN(D$8,J133))+(N133-MIN(E$8,M133)))))</f>
        <v/>
      </c>
      <c r="R133" s="23">
        <f>ROUND(P133-Q133,2)</f>
        <v/>
      </c>
      <c r="S133" s="23">
        <f>ROUND(U132*(1+G$7/12),2)</f>
        <v/>
      </c>
      <c r="T133" s="23">
        <f>MIN(G$8,S133)+MAX(0,MIN(S133-MIN(G$8,S133),$C133-((H133-MIN(C$8,G133))+(K133-MIN(D$8,J133))+(N133-MIN(E$8,M133))+(Q133-MIN(F$8,P133)))))</f>
        <v/>
      </c>
      <c r="U133" s="23">
        <f>ROUND(S133-T133,2)</f>
        <v/>
      </c>
    </row>
    <row r="134">
      <c r="A134" t="n">
        <v>123</v>
      </c>
      <c r="B134" s="22">
        <f>EDATE(Debts!$B$5,122)</f>
        <v/>
      </c>
      <c r="C134" s="23">
        <f>MAX(0,Debts!$B$6-(MIN(C$8,G134)+MIN(D$8,J134)+MIN(E$8,M134)+MIN(F$8,P134)+MIN(G$8,S134)))</f>
        <v/>
      </c>
      <c r="D134" s="23">
        <f>H134+K134+N134+Q134+T134</f>
        <v/>
      </c>
      <c r="E134" s="23">
        <f>I134+L134+O134+R134+U134</f>
        <v/>
      </c>
      <c r="F134" s="23" t="n"/>
      <c r="G134" s="23">
        <f>ROUND(I133*(1+C$7/12),2)</f>
        <v/>
      </c>
      <c r="H134" s="23">
        <f>MIN(C$8,G134)+MAX(0,MIN(G134-MIN(C$8,G134),$C134-(0)))</f>
        <v/>
      </c>
      <c r="I134" s="23">
        <f>ROUND(G134-H134,2)</f>
        <v/>
      </c>
      <c r="J134" s="23">
        <f>ROUND(L133*(1+D$7/12),2)</f>
        <v/>
      </c>
      <c r="K134" s="23">
        <f>MIN(D$8,J134)+MAX(0,MIN(J134-MIN(D$8,J134),$C134-((H134-MIN(C$8,G134)))))</f>
        <v/>
      </c>
      <c r="L134" s="23">
        <f>ROUND(J134-K134,2)</f>
        <v/>
      </c>
      <c r="M134" s="23">
        <f>ROUND(O133*(1+E$7/12),2)</f>
        <v/>
      </c>
      <c r="N134" s="23">
        <f>MIN(E$8,M134)+MAX(0,MIN(M134-MIN(E$8,M134),$C134-((H134-MIN(C$8,G134))+(K134-MIN(D$8,J134)))))</f>
        <v/>
      </c>
      <c r="O134" s="23">
        <f>ROUND(M134-N134,2)</f>
        <v/>
      </c>
      <c r="P134" s="23">
        <f>ROUND(R133*(1+F$7/12),2)</f>
        <v/>
      </c>
      <c r="Q134" s="23">
        <f>MIN(F$8,P134)+MAX(0,MIN(P134-MIN(F$8,P134),$C134-((H134-MIN(C$8,G134))+(K134-MIN(D$8,J134))+(N134-MIN(E$8,M134)))))</f>
        <v/>
      </c>
      <c r="R134" s="23">
        <f>ROUND(P134-Q134,2)</f>
        <v/>
      </c>
      <c r="S134" s="23">
        <f>ROUND(U133*(1+G$7/12),2)</f>
        <v/>
      </c>
      <c r="T134" s="23">
        <f>MIN(G$8,S134)+MAX(0,MIN(S134-MIN(G$8,S134),$C134-((H134-MIN(C$8,G134))+(K134-MIN(D$8,J134))+(N134-MIN(E$8,M134))+(Q134-MIN(F$8,P134)))))</f>
        <v/>
      </c>
      <c r="U134" s="23">
        <f>ROUND(S134-T134,2)</f>
        <v/>
      </c>
    </row>
    <row r="135">
      <c r="A135" t="n">
        <v>124</v>
      </c>
      <c r="B135" s="22">
        <f>EDATE(Debts!$B$5,123)</f>
        <v/>
      </c>
      <c r="C135" s="23">
        <f>MAX(0,Debts!$B$6-(MIN(C$8,G135)+MIN(D$8,J135)+MIN(E$8,M135)+MIN(F$8,P135)+MIN(G$8,S135)))</f>
        <v/>
      </c>
      <c r="D135" s="23">
        <f>H135+K135+N135+Q135+T135</f>
        <v/>
      </c>
      <c r="E135" s="23">
        <f>I135+L135+O135+R135+U135</f>
        <v/>
      </c>
      <c r="F135" s="23" t="n"/>
      <c r="G135" s="23">
        <f>ROUND(I134*(1+C$7/12),2)</f>
        <v/>
      </c>
      <c r="H135" s="23">
        <f>MIN(C$8,G135)+MAX(0,MIN(G135-MIN(C$8,G135),$C135-(0)))</f>
        <v/>
      </c>
      <c r="I135" s="23">
        <f>ROUND(G135-H135,2)</f>
        <v/>
      </c>
      <c r="J135" s="23">
        <f>ROUND(L134*(1+D$7/12),2)</f>
        <v/>
      </c>
      <c r="K135" s="23">
        <f>MIN(D$8,J135)+MAX(0,MIN(J135-MIN(D$8,J135),$C135-((H135-MIN(C$8,G135)))))</f>
        <v/>
      </c>
      <c r="L135" s="23">
        <f>ROUND(J135-K135,2)</f>
        <v/>
      </c>
      <c r="M135" s="23">
        <f>ROUND(O134*(1+E$7/12),2)</f>
        <v/>
      </c>
      <c r="N135" s="23">
        <f>MIN(E$8,M135)+MAX(0,MIN(M135-MIN(E$8,M135),$C135-((H135-MIN(C$8,G135))+(K135-MIN(D$8,J135)))))</f>
        <v/>
      </c>
      <c r="O135" s="23">
        <f>ROUND(M135-N135,2)</f>
        <v/>
      </c>
      <c r="P135" s="23">
        <f>ROUND(R134*(1+F$7/12),2)</f>
        <v/>
      </c>
      <c r="Q135" s="23">
        <f>MIN(F$8,P135)+MAX(0,MIN(P135-MIN(F$8,P135),$C135-((H135-MIN(C$8,G135))+(K135-MIN(D$8,J135))+(N135-MIN(E$8,M135)))))</f>
        <v/>
      </c>
      <c r="R135" s="23">
        <f>ROUND(P135-Q135,2)</f>
        <v/>
      </c>
      <c r="S135" s="23">
        <f>ROUND(U134*(1+G$7/12),2)</f>
        <v/>
      </c>
      <c r="T135" s="23">
        <f>MIN(G$8,S135)+MAX(0,MIN(S135-MIN(G$8,S135),$C135-((H135-MIN(C$8,G135))+(K135-MIN(D$8,J135))+(N135-MIN(E$8,M135))+(Q135-MIN(F$8,P135)))))</f>
        <v/>
      </c>
      <c r="U135" s="23">
        <f>ROUND(S135-T135,2)</f>
        <v/>
      </c>
    </row>
    <row r="136">
      <c r="A136" t="n">
        <v>125</v>
      </c>
      <c r="B136" s="22">
        <f>EDATE(Debts!$B$5,124)</f>
        <v/>
      </c>
      <c r="C136" s="23">
        <f>MAX(0,Debts!$B$6-(MIN(C$8,G136)+MIN(D$8,J136)+MIN(E$8,M136)+MIN(F$8,P136)+MIN(G$8,S136)))</f>
        <v/>
      </c>
      <c r="D136" s="23">
        <f>H136+K136+N136+Q136+T136</f>
        <v/>
      </c>
      <c r="E136" s="23">
        <f>I136+L136+O136+R136+U136</f>
        <v/>
      </c>
      <c r="F136" s="23" t="n"/>
      <c r="G136" s="23">
        <f>ROUND(I135*(1+C$7/12),2)</f>
        <v/>
      </c>
      <c r="H136" s="23">
        <f>MIN(C$8,G136)+MAX(0,MIN(G136-MIN(C$8,G136),$C136-(0)))</f>
        <v/>
      </c>
      <c r="I136" s="23">
        <f>ROUND(G136-H136,2)</f>
        <v/>
      </c>
      <c r="J136" s="23">
        <f>ROUND(L135*(1+D$7/12),2)</f>
        <v/>
      </c>
      <c r="K136" s="23">
        <f>MIN(D$8,J136)+MAX(0,MIN(J136-MIN(D$8,J136),$C136-((H136-MIN(C$8,G136)))))</f>
        <v/>
      </c>
      <c r="L136" s="23">
        <f>ROUND(J136-K136,2)</f>
        <v/>
      </c>
      <c r="M136" s="23">
        <f>ROUND(O135*(1+E$7/12),2)</f>
        <v/>
      </c>
      <c r="N136" s="23">
        <f>MIN(E$8,M136)+MAX(0,MIN(M136-MIN(E$8,M136),$C136-((H136-MIN(C$8,G136))+(K136-MIN(D$8,J136)))))</f>
        <v/>
      </c>
      <c r="O136" s="23">
        <f>ROUND(M136-N136,2)</f>
        <v/>
      </c>
      <c r="P136" s="23">
        <f>ROUND(R135*(1+F$7/12),2)</f>
        <v/>
      </c>
      <c r="Q136" s="23">
        <f>MIN(F$8,P136)+MAX(0,MIN(P136-MIN(F$8,P136),$C136-((H136-MIN(C$8,G136))+(K136-MIN(D$8,J136))+(N136-MIN(E$8,M136)))))</f>
        <v/>
      </c>
      <c r="R136" s="23">
        <f>ROUND(P136-Q136,2)</f>
        <v/>
      </c>
      <c r="S136" s="23">
        <f>ROUND(U135*(1+G$7/12),2)</f>
        <v/>
      </c>
      <c r="T136" s="23">
        <f>MIN(G$8,S136)+MAX(0,MIN(S136-MIN(G$8,S136),$C136-((H136-MIN(C$8,G136))+(K136-MIN(D$8,J136))+(N136-MIN(E$8,M136))+(Q136-MIN(F$8,P136)))))</f>
        <v/>
      </c>
      <c r="U136" s="23">
        <f>ROUND(S136-T136,2)</f>
        <v/>
      </c>
    </row>
    <row r="137">
      <c r="A137" t="n">
        <v>126</v>
      </c>
      <c r="B137" s="22">
        <f>EDATE(Debts!$B$5,125)</f>
        <v/>
      </c>
      <c r="C137" s="23">
        <f>MAX(0,Debts!$B$6-(MIN(C$8,G137)+MIN(D$8,J137)+MIN(E$8,M137)+MIN(F$8,P137)+MIN(G$8,S137)))</f>
        <v/>
      </c>
      <c r="D137" s="23">
        <f>H137+K137+N137+Q137+T137</f>
        <v/>
      </c>
      <c r="E137" s="23">
        <f>I137+L137+O137+R137+U137</f>
        <v/>
      </c>
      <c r="F137" s="23" t="n"/>
      <c r="G137" s="23">
        <f>ROUND(I136*(1+C$7/12),2)</f>
        <v/>
      </c>
      <c r="H137" s="23">
        <f>MIN(C$8,G137)+MAX(0,MIN(G137-MIN(C$8,G137),$C137-(0)))</f>
        <v/>
      </c>
      <c r="I137" s="23">
        <f>ROUND(G137-H137,2)</f>
        <v/>
      </c>
      <c r="J137" s="23">
        <f>ROUND(L136*(1+D$7/12),2)</f>
        <v/>
      </c>
      <c r="K137" s="23">
        <f>MIN(D$8,J137)+MAX(0,MIN(J137-MIN(D$8,J137),$C137-((H137-MIN(C$8,G137)))))</f>
        <v/>
      </c>
      <c r="L137" s="23">
        <f>ROUND(J137-K137,2)</f>
        <v/>
      </c>
      <c r="M137" s="23">
        <f>ROUND(O136*(1+E$7/12),2)</f>
        <v/>
      </c>
      <c r="N137" s="23">
        <f>MIN(E$8,M137)+MAX(0,MIN(M137-MIN(E$8,M137),$C137-((H137-MIN(C$8,G137))+(K137-MIN(D$8,J137)))))</f>
        <v/>
      </c>
      <c r="O137" s="23">
        <f>ROUND(M137-N137,2)</f>
        <v/>
      </c>
      <c r="P137" s="23">
        <f>ROUND(R136*(1+F$7/12),2)</f>
        <v/>
      </c>
      <c r="Q137" s="23">
        <f>MIN(F$8,P137)+MAX(0,MIN(P137-MIN(F$8,P137),$C137-((H137-MIN(C$8,G137))+(K137-MIN(D$8,J137))+(N137-MIN(E$8,M137)))))</f>
        <v/>
      </c>
      <c r="R137" s="23">
        <f>ROUND(P137-Q137,2)</f>
        <v/>
      </c>
      <c r="S137" s="23">
        <f>ROUND(U136*(1+G$7/12),2)</f>
        <v/>
      </c>
      <c r="T137" s="23">
        <f>MIN(G$8,S137)+MAX(0,MIN(S137-MIN(G$8,S137),$C137-((H137-MIN(C$8,G137))+(K137-MIN(D$8,J137))+(N137-MIN(E$8,M137))+(Q137-MIN(F$8,P137)))))</f>
        <v/>
      </c>
      <c r="U137" s="23">
        <f>ROUND(S137-T137,2)</f>
        <v/>
      </c>
    </row>
    <row r="138">
      <c r="A138" t="n">
        <v>127</v>
      </c>
      <c r="B138" s="22">
        <f>EDATE(Debts!$B$5,126)</f>
        <v/>
      </c>
      <c r="C138" s="23">
        <f>MAX(0,Debts!$B$6-(MIN(C$8,G138)+MIN(D$8,J138)+MIN(E$8,M138)+MIN(F$8,P138)+MIN(G$8,S138)))</f>
        <v/>
      </c>
      <c r="D138" s="23">
        <f>H138+K138+N138+Q138+T138</f>
        <v/>
      </c>
      <c r="E138" s="23">
        <f>I138+L138+O138+R138+U138</f>
        <v/>
      </c>
      <c r="F138" s="23" t="n"/>
      <c r="G138" s="23">
        <f>ROUND(I137*(1+C$7/12),2)</f>
        <v/>
      </c>
      <c r="H138" s="23">
        <f>MIN(C$8,G138)+MAX(0,MIN(G138-MIN(C$8,G138),$C138-(0)))</f>
        <v/>
      </c>
      <c r="I138" s="23">
        <f>ROUND(G138-H138,2)</f>
        <v/>
      </c>
      <c r="J138" s="23">
        <f>ROUND(L137*(1+D$7/12),2)</f>
        <v/>
      </c>
      <c r="K138" s="23">
        <f>MIN(D$8,J138)+MAX(0,MIN(J138-MIN(D$8,J138),$C138-((H138-MIN(C$8,G138)))))</f>
        <v/>
      </c>
      <c r="L138" s="23">
        <f>ROUND(J138-K138,2)</f>
        <v/>
      </c>
      <c r="M138" s="23">
        <f>ROUND(O137*(1+E$7/12),2)</f>
        <v/>
      </c>
      <c r="N138" s="23">
        <f>MIN(E$8,M138)+MAX(0,MIN(M138-MIN(E$8,M138),$C138-((H138-MIN(C$8,G138))+(K138-MIN(D$8,J138)))))</f>
        <v/>
      </c>
      <c r="O138" s="23">
        <f>ROUND(M138-N138,2)</f>
        <v/>
      </c>
      <c r="P138" s="23">
        <f>ROUND(R137*(1+F$7/12),2)</f>
        <v/>
      </c>
      <c r="Q138" s="23">
        <f>MIN(F$8,P138)+MAX(0,MIN(P138-MIN(F$8,P138),$C138-((H138-MIN(C$8,G138))+(K138-MIN(D$8,J138))+(N138-MIN(E$8,M138)))))</f>
        <v/>
      </c>
      <c r="R138" s="23">
        <f>ROUND(P138-Q138,2)</f>
        <v/>
      </c>
      <c r="S138" s="23">
        <f>ROUND(U137*(1+G$7/12),2)</f>
        <v/>
      </c>
      <c r="T138" s="23">
        <f>MIN(G$8,S138)+MAX(0,MIN(S138-MIN(G$8,S138),$C138-((H138-MIN(C$8,G138))+(K138-MIN(D$8,J138))+(N138-MIN(E$8,M138))+(Q138-MIN(F$8,P138)))))</f>
        <v/>
      </c>
      <c r="U138" s="23">
        <f>ROUND(S138-T138,2)</f>
        <v/>
      </c>
    </row>
    <row r="139">
      <c r="A139" t="n">
        <v>128</v>
      </c>
      <c r="B139" s="22">
        <f>EDATE(Debts!$B$5,127)</f>
        <v/>
      </c>
      <c r="C139" s="23">
        <f>MAX(0,Debts!$B$6-(MIN(C$8,G139)+MIN(D$8,J139)+MIN(E$8,M139)+MIN(F$8,P139)+MIN(G$8,S139)))</f>
        <v/>
      </c>
      <c r="D139" s="23">
        <f>H139+K139+N139+Q139+T139</f>
        <v/>
      </c>
      <c r="E139" s="23">
        <f>I139+L139+O139+R139+U139</f>
        <v/>
      </c>
      <c r="F139" s="23" t="n"/>
      <c r="G139" s="23">
        <f>ROUND(I138*(1+C$7/12),2)</f>
        <v/>
      </c>
      <c r="H139" s="23">
        <f>MIN(C$8,G139)+MAX(0,MIN(G139-MIN(C$8,G139),$C139-(0)))</f>
        <v/>
      </c>
      <c r="I139" s="23">
        <f>ROUND(G139-H139,2)</f>
        <v/>
      </c>
      <c r="J139" s="23">
        <f>ROUND(L138*(1+D$7/12),2)</f>
        <v/>
      </c>
      <c r="K139" s="23">
        <f>MIN(D$8,J139)+MAX(0,MIN(J139-MIN(D$8,J139),$C139-((H139-MIN(C$8,G139)))))</f>
        <v/>
      </c>
      <c r="L139" s="23">
        <f>ROUND(J139-K139,2)</f>
        <v/>
      </c>
      <c r="M139" s="23">
        <f>ROUND(O138*(1+E$7/12),2)</f>
        <v/>
      </c>
      <c r="N139" s="23">
        <f>MIN(E$8,M139)+MAX(0,MIN(M139-MIN(E$8,M139),$C139-((H139-MIN(C$8,G139))+(K139-MIN(D$8,J139)))))</f>
        <v/>
      </c>
      <c r="O139" s="23">
        <f>ROUND(M139-N139,2)</f>
        <v/>
      </c>
      <c r="P139" s="23">
        <f>ROUND(R138*(1+F$7/12),2)</f>
        <v/>
      </c>
      <c r="Q139" s="23">
        <f>MIN(F$8,P139)+MAX(0,MIN(P139-MIN(F$8,P139),$C139-((H139-MIN(C$8,G139))+(K139-MIN(D$8,J139))+(N139-MIN(E$8,M139)))))</f>
        <v/>
      </c>
      <c r="R139" s="23">
        <f>ROUND(P139-Q139,2)</f>
        <v/>
      </c>
      <c r="S139" s="23">
        <f>ROUND(U138*(1+G$7/12),2)</f>
        <v/>
      </c>
      <c r="T139" s="23">
        <f>MIN(G$8,S139)+MAX(0,MIN(S139-MIN(G$8,S139),$C139-((H139-MIN(C$8,G139))+(K139-MIN(D$8,J139))+(N139-MIN(E$8,M139))+(Q139-MIN(F$8,P139)))))</f>
        <v/>
      </c>
      <c r="U139" s="23">
        <f>ROUND(S139-T139,2)</f>
        <v/>
      </c>
    </row>
    <row r="140">
      <c r="A140" t="n">
        <v>129</v>
      </c>
      <c r="B140" s="22">
        <f>EDATE(Debts!$B$5,128)</f>
        <v/>
      </c>
      <c r="C140" s="23">
        <f>MAX(0,Debts!$B$6-(MIN(C$8,G140)+MIN(D$8,J140)+MIN(E$8,M140)+MIN(F$8,P140)+MIN(G$8,S140)))</f>
        <v/>
      </c>
      <c r="D140" s="23">
        <f>H140+K140+N140+Q140+T140</f>
        <v/>
      </c>
      <c r="E140" s="23">
        <f>I140+L140+O140+R140+U140</f>
        <v/>
      </c>
      <c r="F140" s="23" t="n"/>
      <c r="G140" s="23">
        <f>ROUND(I139*(1+C$7/12),2)</f>
        <v/>
      </c>
      <c r="H140" s="23">
        <f>MIN(C$8,G140)+MAX(0,MIN(G140-MIN(C$8,G140),$C140-(0)))</f>
        <v/>
      </c>
      <c r="I140" s="23">
        <f>ROUND(G140-H140,2)</f>
        <v/>
      </c>
      <c r="J140" s="23">
        <f>ROUND(L139*(1+D$7/12),2)</f>
        <v/>
      </c>
      <c r="K140" s="23">
        <f>MIN(D$8,J140)+MAX(0,MIN(J140-MIN(D$8,J140),$C140-((H140-MIN(C$8,G140)))))</f>
        <v/>
      </c>
      <c r="L140" s="23">
        <f>ROUND(J140-K140,2)</f>
        <v/>
      </c>
      <c r="M140" s="23">
        <f>ROUND(O139*(1+E$7/12),2)</f>
        <v/>
      </c>
      <c r="N140" s="23">
        <f>MIN(E$8,M140)+MAX(0,MIN(M140-MIN(E$8,M140),$C140-((H140-MIN(C$8,G140))+(K140-MIN(D$8,J140)))))</f>
        <v/>
      </c>
      <c r="O140" s="23">
        <f>ROUND(M140-N140,2)</f>
        <v/>
      </c>
      <c r="P140" s="23">
        <f>ROUND(R139*(1+F$7/12),2)</f>
        <v/>
      </c>
      <c r="Q140" s="23">
        <f>MIN(F$8,P140)+MAX(0,MIN(P140-MIN(F$8,P140),$C140-((H140-MIN(C$8,G140))+(K140-MIN(D$8,J140))+(N140-MIN(E$8,M140)))))</f>
        <v/>
      </c>
      <c r="R140" s="23">
        <f>ROUND(P140-Q140,2)</f>
        <v/>
      </c>
      <c r="S140" s="23">
        <f>ROUND(U139*(1+G$7/12),2)</f>
        <v/>
      </c>
      <c r="T140" s="23">
        <f>MIN(G$8,S140)+MAX(0,MIN(S140-MIN(G$8,S140),$C140-((H140-MIN(C$8,G140))+(K140-MIN(D$8,J140))+(N140-MIN(E$8,M140))+(Q140-MIN(F$8,P140)))))</f>
        <v/>
      </c>
      <c r="U140" s="23">
        <f>ROUND(S140-T140,2)</f>
        <v/>
      </c>
    </row>
    <row r="141">
      <c r="A141" t="n">
        <v>130</v>
      </c>
      <c r="B141" s="22">
        <f>EDATE(Debts!$B$5,129)</f>
        <v/>
      </c>
      <c r="C141" s="23">
        <f>MAX(0,Debts!$B$6-(MIN(C$8,G141)+MIN(D$8,J141)+MIN(E$8,M141)+MIN(F$8,P141)+MIN(G$8,S141)))</f>
        <v/>
      </c>
      <c r="D141" s="23">
        <f>H141+K141+N141+Q141+T141</f>
        <v/>
      </c>
      <c r="E141" s="23">
        <f>I141+L141+O141+R141+U141</f>
        <v/>
      </c>
      <c r="F141" s="23" t="n"/>
      <c r="G141" s="23">
        <f>ROUND(I140*(1+C$7/12),2)</f>
        <v/>
      </c>
      <c r="H141" s="23">
        <f>MIN(C$8,G141)+MAX(0,MIN(G141-MIN(C$8,G141),$C141-(0)))</f>
        <v/>
      </c>
      <c r="I141" s="23">
        <f>ROUND(G141-H141,2)</f>
        <v/>
      </c>
      <c r="J141" s="23">
        <f>ROUND(L140*(1+D$7/12),2)</f>
        <v/>
      </c>
      <c r="K141" s="23">
        <f>MIN(D$8,J141)+MAX(0,MIN(J141-MIN(D$8,J141),$C141-((H141-MIN(C$8,G141)))))</f>
        <v/>
      </c>
      <c r="L141" s="23">
        <f>ROUND(J141-K141,2)</f>
        <v/>
      </c>
      <c r="M141" s="23">
        <f>ROUND(O140*(1+E$7/12),2)</f>
        <v/>
      </c>
      <c r="N141" s="23">
        <f>MIN(E$8,M141)+MAX(0,MIN(M141-MIN(E$8,M141),$C141-((H141-MIN(C$8,G141))+(K141-MIN(D$8,J141)))))</f>
        <v/>
      </c>
      <c r="O141" s="23">
        <f>ROUND(M141-N141,2)</f>
        <v/>
      </c>
      <c r="P141" s="23">
        <f>ROUND(R140*(1+F$7/12),2)</f>
        <v/>
      </c>
      <c r="Q141" s="23">
        <f>MIN(F$8,P141)+MAX(0,MIN(P141-MIN(F$8,P141),$C141-((H141-MIN(C$8,G141))+(K141-MIN(D$8,J141))+(N141-MIN(E$8,M141)))))</f>
        <v/>
      </c>
      <c r="R141" s="23">
        <f>ROUND(P141-Q141,2)</f>
        <v/>
      </c>
      <c r="S141" s="23">
        <f>ROUND(U140*(1+G$7/12),2)</f>
        <v/>
      </c>
      <c r="T141" s="23">
        <f>MIN(G$8,S141)+MAX(0,MIN(S141-MIN(G$8,S141),$C141-((H141-MIN(C$8,G141))+(K141-MIN(D$8,J141))+(N141-MIN(E$8,M141))+(Q141-MIN(F$8,P141)))))</f>
        <v/>
      </c>
      <c r="U141" s="23">
        <f>ROUND(S141-T141,2)</f>
        <v/>
      </c>
    </row>
    <row r="142">
      <c r="A142" t="n">
        <v>131</v>
      </c>
      <c r="B142" s="22">
        <f>EDATE(Debts!$B$5,130)</f>
        <v/>
      </c>
      <c r="C142" s="23">
        <f>MAX(0,Debts!$B$6-(MIN(C$8,G142)+MIN(D$8,J142)+MIN(E$8,M142)+MIN(F$8,P142)+MIN(G$8,S142)))</f>
        <v/>
      </c>
      <c r="D142" s="23">
        <f>H142+K142+N142+Q142+T142</f>
        <v/>
      </c>
      <c r="E142" s="23">
        <f>I142+L142+O142+R142+U142</f>
        <v/>
      </c>
      <c r="F142" s="23" t="n"/>
      <c r="G142" s="23">
        <f>ROUND(I141*(1+C$7/12),2)</f>
        <v/>
      </c>
      <c r="H142" s="23">
        <f>MIN(C$8,G142)+MAX(0,MIN(G142-MIN(C$8,G142),$C142-(0)))</f>
        <v/>
      </c>
      <c r="I142" s="23">
        <f>ROUND(G142-H142,2)</f>
        <v/>
      </c>
      <c r="J142" s="23">
        <f>ROUND(L141*(1+D$7/12),2)</f>
        <v/>
      </c>
      <c r="K142" s="23">
        <f>MIN(D$8,J142)+MAX(0,MIN(J142-MIN(D$8,J142),$C142-((H142-MIN(C$8,G142)))))</f>
        <v/>
      </c>
      <c r="L142" s="23">
        <f>ROUND(J142-K142,2)</f>
        <v/>
      </c>
      <c r="M142" s="23">
        <f>ROUND(O141*(1+E$7/12),2)</f>
        <v/>
      </c>
      <c r="N142" s="23">
        <f>MIN(E$8,M142)+MAX(0,MIN(M142-MIN(E$8,M142),$C142-((H142-MIN(C$8,G142))+(K142-MIN(D$8,J142)))))</f>
        <v/>
      </c>
      <c r="O142" s="23">
        <f>ROUND(M142-N142,2)</f>
        <v/>
      </c>
      <c r="P142" s="23">
        <f>ROUND(R141*(1+F$7/12),2)</f>
        <v/>
      </c>
      <c r="Q142" s="23">
        <f>MIN(F$8,P142)+MAX(0,MIN(P142-MIN(F$8,P142),$C142-((H142-MIN(C$8,G142))+(K142-MIN(D$8,J142))+(N142-MIN(E$8,M142)))))</f>
        <v/>
      </c>
      <c r="R142" s="23">
        <f>ROUND(P142-Q142,2)</f>
        <v/>
      </c>
      <c r="S142" s="23">
        <f>ROUND(U141*(1+G$7/12),2)</f>
        <v/>
      </c>
      <c r="T142" s="23">
        <f>MIN(G$8,S142)+MAX(0,MIN(S142-MIN(G$8,S142),$C142-((H142-MIN(C$8,G142))+(K142-MIN(D$8,J142))+(N142-MIN(E$8,M142))+(Q142-MIN(F$8,P142)))))</f>
        <v/>
      </c>
      <c r="U142" s="23">
        <f>ROUND(S142-T142,2)</f>
        <v/>
      </c>
    </row>
    <row r="143">
      <c r="A143" t="n">
        <v>132</v>
      </c>
      <c r="B143" s="22">
        <f>EDATE(Debts!$B$5,131)</f>
        <v/>
      </c>
      <c r="C143" s="23">
        <f>MAX(0,Debts!$B$6-(MIN(C$8,G143)+MIN(D$8,J143)+MIN(E$8,M143)+MIN(F$8,P143)+MIN(G$8,S143)))</f>
        <v/>
      </c>
      <c r="D143" s="23">
        <f>H143+K143+N143+Q143+T143</f>
        <v/>
      </c>
      <c r="E143" s="23">
        <f>I143+L143+O143+R143+U143</f>
        <v/>
      </c>
      <c r="F143" s="23" t="n"/>
      <c r="G143" s="23">
        <f>ROUND(I142*(1+C$7/12),2)</f>
        <v/>
      </c>
      <c r="H143" s="23">
        <f>MIN(C$8,G143)+MAX(0,MIN(G143-MIN(C$8,G143),$C143-(0)))</f>
        <v/>
      </c>
      <c r="I143" s="23">
        <f>ROUND(G143-H143,2)</f>
        <v/>
      </c>
      <c r="J143" s="23">
        <f>ROUND(L142*(1+D$7/12),2)</f>
        <v/>
      </c>
      <c r="K143" s="23">
        <f>MIN(D$8,J143)+MAX(0,MIN(J143-MIN(D$8,J143),$C143-((H143-MIN(C$8,G143)))))</f>
        <v/>
      </c>
      <c r="L143" s="23">
        <f>ROUND(J143-K143,2)</f>
        <v/>
      </c>
      <c r="M143" s="23">
        <f>ROUND(O142*(1+E$7/12),2)</f>
        <v/>
      </c>
      <c r="N143" s="23">
        <f>MIN(E$8,M143)+MAX(0,MIN(M143-MIN(E$8,M143),$C143-((H143-MIN(C$8,G143))+(K143-MIN(D$8,J143)))))</f>
        <v/>
      </c>
      <c r="O143" s="23">
        <f>ROUND(M143-N143,2)</f>
        <v/>
      </c>
      <c r="P143" s="23">
        <f>ROUND(R142*(1+F$7/12),2)</f>
        <v/>
      </c>
      <c r="Q143" s="23">
        <f>MIN(F$8,P143)+MAX(0,MIN(P143-MIN(F$8,P143),$C143-((H143-MIN(C$8,G143))+(K143-MIN(D$8,J143))+(N143-MIN(E$8,M143)))))</f>
        <v/>
      </c>
      <c r="R143" s="23">
        <f>ROUND(P143-Q143,2)</f>
        <v/>
      </c>
      <c r="S143" s="23">
        <f>ROUND(U142*(1+G$7/12),2)</f>
        <v/>
      </c>
      <c r="T143" s="23">
        <f>MIN(G$8,S143)+MAX(0,MIN(S143-MIN(G$8,S143),$C143-((H143-MIN(C$8,G143))+(K143-MIN(D$8,J143))+(N143-MIN(E$8,M143))+(Q143-MIN(F$8,P143)))))</f>
        <v/>
      </c>
      <c r="U143" s="23">
        <f>ROUND(S143-T143,2)</f>
        <v/>
      </c>
    </row>
    <row r="144">
      <c r="A144" t="n">
        <v>133</v>
      </c>
      <c r="B144" s="22">
        <f>EDATE(Debts!$B$5,132)</f>
        <v/>
      </c>
      <c r="C144" s="23">
        <f>MAX(0,Debts!$B$6-(MIN(C$8,G144)+MIN(D$8,J144)+MIN(E$8,M144)+MIN(F$8,P144)+MIN(G$8,S144)))</f>
        <v/>
      </c>
      <c r="D144" s="23">
        <f>H144+K144+N144+Q144+T144</f>
        <v/>
      </c>
      <c r="E144" s="23">
        <f>I144+L144+O144+R144+U144</f>
        <v/>
      </c>
      <c r="F144" s="23" t="n"/>
      <c r="G144" s="23">
        <f>ROUND(I143*(1+C$7/12),2)</f>
        <v/>
      </c>
      <c r="H144" s="23">
        <f>MIN(C$8,G144)+MAX(0,MIN(G144-MIN(C$8,G144),$C144-(0)))</f>
        <v/>
      </c>
      <c r="I144" s="23">
        <f>ROUND(G144-H144,2)</f>
        <v/>
      </c>
      <c r="J144" s="23">
        <f>ROUND(L143*(1+D$7/12),2)</f>
        <v/>
      </c>
      <c r="K144" s="23">
        <f>MIN(D$8,J144)+MAX(0,MIN(J144-MIN(D$8,J144),$C144-((H144-MIN(C$8,G144)))))</f>
        <v/>
      </c>
      <c r="L144" s="23">
        <f>ROUND(J144-K144,2)</f>
        <v/>
      </c>
      <c r="M144" s="23">
        <f>ROUND(O143*(1+E$7/12),2)</f>
        <v/>
      </c>
      <c r="N144" s="23">
        <f>MIN(E$8,M144)+MAX(0,MIN(M144-MIN(E$8,M144),$C144-((H144-MIN(C$8,G144))+(K144-MIN(D$8,J144)))))</f>
        <v/>
      </c>
      <c r="O144" s="23">
        <f>ROUND(M144-N144,2)</f>
        <v/>
      </c>
      <c r="P144" s="23">
        <f>ROUND(R143*(1+F$7/12),2)</f>
        <v/>
      </c>
      <c r="Q144" s="23">
        <f>MIN(F$8,P144)+MAX(0,MIN(P144-MIN(F$8,P144),$C144-((H144-MIN(C$8,G144))+(K144-MIN(D$8,J144))+(N144-MIN(E$8,M144)))))</f>
        <v/>
      </c>
      <c r="R144" s="23">
        <f>ROUND(P144-Q144,2)</f>
        <v/>
      </c>
      <c r="S144" s="23">
        <f>ROUND(U143*(1+G$7/12),2)</f>
        <v/>
      </c>
      <c r="T144" s="23">
        <f>MIN(G$8,S144)+MAX(0,MIN(S144-MIN(G$8,S144),$C144-((H144-MIN(C$8,G144))+(K144-MIN(D$8,J144))+(N144-MIN(E$8,M144))+(Q144-MIN(F$8,P144)))))</f>
        <v/>
      </c>
      <c r="U144" s="23">
        <f>ROUND(S144-T144,2)</f>
        <v/>
      </c>
    </row>
    <row r="145">
      <c r="A145" t="n">
        <v>134</v>
      </c>
      <c r="B145" s="22">
        <f>EDATE(Debts!$B$5,133)</f>
        <v/>
      </c>
      <c r="C145" s="23">
        <f>MAX(0,Debts!$B$6-(MIN(C$8,G145)+MIN(D$8,J145)+MIN(E$8,M145)+MIN(F$8,P145)+MIN(G$8,S145)))</f>
        <v/>
      </c>
      <c r="D145" s="23">
        <f>H145+K145+N145+Q145+T145</f>
        <v/>
      </c>
      <c r="E145" s="23">
        <f>I145+L145+O145+R145+U145</f>
        <v/>
      </c>
      <c r="F145" s="23" t="n"/>
      <c r="G145" s="23">
        <f>ROUND(I144*(1+C$7/12),2)</f>
        <v/>
      </c>
      <c r="H145" s="23">
        <f>MIN(C$8,G145)+MAX(0,MIN(G145-MIN(C$8,G145),$C145-(0)))</f>
        <v/>
      </c>
      <c r="I145" s="23">
        <f>ROUND(G145-H145,2)</f>
        <v/>
      </c>
      <c r="J145" s="23">
        <f>ROUND(L144*(1+D$7/12),2)</f>
        <v/>
      </c>
      <c r="K145" s="23">
        <f>MIN(D$8,J145)+MAX(0,MIN(J145-MIN(D$8,J145),$C145-((H145-MIN(C$8,G145)))))</f>
        <v/>
      </c>
      <c r="L145" s="23">
        <f>ROUND(J145-K145,2)</f>
        <v/>
      </c>
      <c r="M145" s="23">
        <f>ROUND(O144*(1+E$7/12),2)</f>
        <v/>
      </c>
      <c r="N145" s="23">
        <f>MIN(E$8,M145)+MAX(0,MIN(M145-MIN(E$8,M145),$C145-((H145-MIN(C$8,G145))+(K145-MIN(D$8,J145)))))</f>
        <v/>
      </c>
      <c r="O145" s="23">
        <f>ROUND(M145-N145,2)</f>
        <v/>
      </c>
      <c r="P145" s="23">
        <f>ROUND(R144*(1+F$7/12),2)</f>
        <v/>
      </c>
      <c r="Q145" s="23">
        <f>MIN(F$8,P145)+MAX(0,MIN(P145-MIN(F$8,P145),$C145-((H145-MIN(C$8,G145))+(K145-MIN(D$8,J145))+(N145-MIN(E$8,M145)))))</f>
        <v/>
      </c>
      <c r="R145" s="23">
        <f>ROUND(P145-Q145,2)</f>
        <v/>
      </c>
      <c r="S145" s="23">
        <f>ROUND(U144*(1+G$7/12),2)</f>
        <v/>
      </c>
      <c r="T145" s="23">
        <f>MIN(G$8,S145)+MAX(0,MIN(S145-MIN(G$8,S145),$C145-((H145-MIN(C$8,G145))+(K145-MIN(D$8,J145))+(N145-MIN(E$8,M145))+(Q145-MIN(F$8,P145)))))</f>
        <v/>
      </c>
      <c r="U145" s="23">
        <f>ROUND(S145-T145,2)</f>
        <v/>
      </c>
    </row>
    <row r="146">
      <c r="A146" t="n">
        <v>135</v>
      </c>
      <c r="B146" s="22">
        <f>EDATE(Debts!$B$5,134)</f>
        <v/>
      </c>
      <c r="C146" s="23">
        <f>MAX(0,Debts!$B$6-(MIN(C$8,G146)+MIN(D$8,J146)+MIN(E$8,M146)+MIN(F$8,P146)+MIN(G$8,S146)))</f>
        <v/>
      </c>
      <c r="D146" s="23">
        <f>H146+K146+N146+Q146+T146</f>
        <v/>
      </c>
      <c r="E146" s="23">
        <f>I146+L146+O146+R146+U146</f>
        <v/>
      </c>
      <c r="F146" s="23" t="n"/>
      <c r="G146" s="23">
        <f>ROUND(I145*(1+C$7/12),2)</f>
        <v/>
      </c>
      <c r="H146" s="23">
        <f>MIN(C$8,G146)+MAX(0,MIN(G146-MIN(C$8,G146),$C146-(0)))</f>
        <v/>
      </c>
      <c r="I146" s="23">
        <f>ROUND(G146-H146,2)</f>
        <v/>
      </c>
      <c r="J146" s="23">
        <f>ROUND(L145*(1+D$7/12),2)</f>
        <v/>
      </c>
      <c r="K146" s="23">
        <f>MIN(D$8,J146)+MAX(0,MIN(J146-MIN(D$8,J146),$C146-((H146-MIN(C$8,G146)))))</f>
        <v/>
      </c>
      <c r="L146" s="23">
        <f>ROUND(J146-K146,2)</f>
        <v/>
      </c>
      <c r="M146" s="23">
        <f>ROUND(O145*(1+E$7/12),2)</f>
        <v/>
      </c>
      <c r="N146" s="23">
        <f>MIN(E$8,M146)+MAX(0,MIN(M146-MIN(E$8,M146),$C146-((H146-MIN(C$8,G146))+(K146-MIN(D$8,J146)))))</f>
        <v/>
      </c>
      <c r="O146" s="23">
        <f>ROUND(M146-N146,2)</f>
        <v/>
      </c>
      <c r="P146" s="23">
        <f>ROUND(R145*(1+F$7/12),2)</f>
        <v/>
      </c>
      <c r="Q146" s="23">
        <f>MIN(F$8,P146)+MAX(0,MIN(P146-MIN(F$8,P146),$C146-((H146-MIN(C$8,G146))+(K146-MIN(D$8,J146))+(N146-MIN(E$8,M146)))))</f>
        <v/>
      </c>
      <c r="R146" s="23">
        <f>ROUND(P146-Q146,2)</f>
        <v/>
      </c>
      <c r="S146" s="23">
        <f>ROUND(U145*(1+G$7/12),2)</f>
        <v/>
      </c>
      <c r="T146" s="23">
        <f>MIN(G$8,S146)+MAX(0,MIN(S146-MIN(G$8,S146),$C146-((H146-MIN(C$8,G146))+(K146-MIN(D$8,J146))+(N146-MIN(E$8,M146))+(Q146-MIN(F$8,P146)))))</f>
        <v/>
      </c>
      <c r="U146" s="23">
        <f>ROUND(S146-T146,2)</f>
        <v/>
      </c>
    </row>
    <row r="147">
      <c r="A147" t="n">
        <v>136</v>
      </c>
      <c r="B147" s="22">
        <f>EDATE(Debts!$B$5,135)</f>
        <v/>
      </c>
      <c r="C147" s="23">
        <f>MAX(0,Debts!$B$6-(MIN(C$8,G147)+MIN(D$8,J147)+MIN(E$8,M147)+MIN(F$8,P147)+MIN(G$8,S147)))</f>
        <v/>
      </c>
      <c r="D147" s="23">
        <f>H147+K147+N147+Q147+T147</f>
        <v/>
      </c>
      <c r="E147" s="23">
        <f>I147+L147+O147+R147+U147</f>
        <v/>
      </c>
      <c r="F147" s="23" t="n"/>
      <c r="G147" s="23">
        <f>ROUND(I146*(1+C$7/12),2)</f>
        <v/>
      </c>
      <c r="H147" s="23">
        <f>MIN(C$8,G147)+MAX(0,MIN(G147-MIN(C$8,G147),$C147-(0)))</f>
        <v/>
      </c>
      <c r="I147" s="23">
        <f>ROUND(G147-H147,2)</f>
        <v/>
      </c>
      <c r="J147" s="23">
        <f>ROUND(L146*(1+D$7/12),2)</f>
        <v/>
      </c>
      <c r="K147" s="23">
        <f>MIN(D$8,J147)+MAX(0,MIN(J147-MIN(D$8,J147),$C147-((H147-MIN(C$8,G147)))))</f>
        <v/>
      </c>
      <c r="L147" s="23">
        <f>ROUND(J147-K147,2)</f>
        <v/>
      </c>
      <c r="M147" s="23">
        <f>ROUND(O146*(1+E$7/12),2)</f>
        <v/>
      </c>
      <c r="N147" s="23">
        <f>MIN(E$8,M147)+MAX(0,MIN(M147-MIN(E$8,M147),$C147-((H147-MIN(C$8,G147))+(K147-MIN(D$8,J147)))))</f>
        <v/>
      </c>
      <c r="O147" s="23">
        <f>ROUND(M147-N147,2)</f>
        <v/>
      </c>
      <c r="P147" s="23">
        <f>ROUND(R146*(1+F$7/12),2)</f>
        <v/>
      </c>
      <c r="Q147" s="23">
        <f>MIN(F$8,P147)+MAX(0,MIN(P147-MIN(F$8,P147),$C147-((H147-MIN(C$8,G147))+(K147-MIN(D$8,J147))+(N147-MIN(E$8,M147)))))</f>
        <v/>
      </c>
      <c r="R147" s="23">
        <f>ROUND(P147-Q147,2)</f>
        <v/>
      </c>
      <c r="S147" s="23">
        <f>ROUND(U146*(1+G$7/12),2)</f>
        <v/>
      </c>
      <c r="T147" s="23">
        <f>MIN(G$8,S147)+MAX(0,MIN(S147-MIN(G$8,S147),$C147-((H147-MIN(C$8,G147))+(K147-MIN(D$8,J147))+(N147-MIN(E$8,M147))+(Q147-MIN(F$8,P147)))))</f>
        <v/>
      </c>
      <c r="U147" s="23">
        <f>ROUND(S147-T147,2)</f>
        <v/>
      </c>
    </row>
    <row r="148">
      <c r="A148" t="n">
        <v>137</v>
      </c>
      <c r="B148" s="22">
        <f>EDATE(Debts!$B$5,136)</f>
        <v/>
      </c>
      <c r="C148" s="23">
        <f>MAX(0,Debts!$B$6-(MIN(C$8,G148)+MIN(D$8,J148)+MIN(E$8,M148)+MIN(F$8,P148)+MIN(G$8,S148)))</f>
        <v/>
      </c>
      <c r="D148" s="23">
        <f>H148+K148+N148+Q148+T148</f>
        <v/>
      </c>
      <c r="E148" s="23">
        <f>I148+L148+O148+R148+U148</f>
        <v/>
      </c>
      <c r="F148" s="23" t="n"/>
      <c r="G148" s="23">
        <f>ROUND(I147*(1+C$7/12),2)</f>
        <v/>
      </c>
      <c r="H148" s="23">
        <f>MIN(C$8,G148)+MAX(0,MIN(G148-MIN(C$8,G148),$C148-(0)))</f>
        <v/>
      </c>
      <c r="I148" s="23">
        <f>ROUND(G148-H148,2)</f>
        <v/>
      </c>
      <c r="J148" s="23">
        <f>ROUND(L147*(1+D$7/12),2)</f>
        <v/>
      </c>
      <c r="K148" s="23">
        <f>MIN(D$8,J148)+MAX(0,MIN(J148-MIN(D$8,J148),$C148-((H148-MIN(C$8,G148)))))</f>
        <v/>
      </c>
      <c r="L148" s="23">
        <f>ROUND(J148-K148,2)</f>
        <v/>
      </c>
      <c r="M148" s="23">
        <f>ROUND(O147*(1+E$7/12),2)</f>
        <v/>
      </c>
      <c r="N148" s="23">
        <f>MIN(E$8,M148)+MAX(0,MIN(M148-MIN(E$8,M148),$C148-((H148-MIN(C$8,G148))+(K148-MIN(D$8,J148)))))</f>
        <v/>
      </c>
      <c r="O148" s="23">
        <f>ROUND(M148-N148,2)</f>
        <v/>
      </c>
      <c r="P148" s="23">
        <f>ROUND(R147*(1+F$7/12),2)</f>
        <v/>
      </c>
      <c r="Q148" s="23">
        <f>MIN(F$8,P148)+MAX(0,MIN(P148-MIN(F$8,P148),$C148-((H148-MIN(C$8,G148))+(K148-MIN(D$8,J148))+(N148-MIN(E$8,M148)))))</f>
        <v/>
      </c>
      <c r="R148" s="23">
        <f>ROUND(P148-Q148,2)</f>
        <v/>
      </c>
      <c r="S148" s="23">
        <f>ROUND(U147*(1+G$7/12),2)</f>
        <v/>
      </c>
      <c r="T148" s="23">
        <f>MIN(G$8,S148)+MAX(0,MIN(S148-MIN(G$8,S148),$C148-((H148-MIN(C$8,G148))+(K148-MIN(D$8,J148))+(N148-MIN(E$8,M148))+(Q148-MIN(F$8,P148)))))</f>
        <v/>
      </c>
      <c r="U148" s="23">
        <f>ROUND(S148-T148,2)</f>
        <v/>
      </c>
    </row>
    <row r="149">
      <c r="A149" t="n">
        <v>138</v>
      </c>
      <c r="B149" s="22">
        <f>EDATE(Debts!$B$5,137)</f>
        <v/>
      </c>
      <c r="C149" s="23">
        <f>MAX(0,Debts!$B$6-(MIN(C$8,G149)+MIN(D$8,J149)+MIN(E$8,M149)+MIN(F$8,P149)+MIN(G$8,S149)))</f>
        <v/>
      </c>
      <c r="D149" s="23">
        <f>H149+K149+N149+Q149+T149</f>
        <v/>
      </c>
      <c r="E149" s="23">
        <f>I149+L149+O149+R149+U149</f>
        <v/>
      </c>
      <c r="F149" s="23" t="n"/>
      <c r="G149" s="23">
        <f>ROUND(I148*(1+C$7/12),2)</f>
        <v/>
      </c>
      <c r="H149" s="23">
        <f>MIN(C$8,G149)+MAX(0,MIN(G149-MIN(C$8,G149),$C149-(0)))</f>
        <v/>
      </c>
      <c r="I149" s="23">
        <f>ROUND(G149-H149,2)</f>
        <v/>
      </c>
      <c r="J149" s="23">
        <f>ROUND(L148*(1+D$7/12),2)</f>
        <v/>
      </c>
      <c r="K149" s="23">
        <f>MIN(D$8,J149)+MAX(0,MIN(J149-MIN(D$8,J149),$C149-((H149-MIN(C$8,G149)))))</f>
        <v/>
      </c>
      <c r="L149" s="23">
        <f>ROUND(J149-K149,2)</f>
        <v/>
      </c>
      <c r="M149" s="23">
        <f>ROUND(O148*(1+E$7/12),2)</f>
        <v/>
      </c>
      <c r="N149" s="23">
        <f>MIN(E$8,M149)+MAX(0,MIN(M149-MIN(E$8,M149),$C149-((H149-MIN(C$8,G149))+(K149-MIN(D$8,J149)))))</f>
        <v/>
      </c>
      <c r="O149" s="23">
        <f>ROUND(M149-N149,2)</f>
        <v/>
      </c>
      <c r="P149" s="23">
        <f>ROUND(R148*(1+F$7/12),2)</f>
        <v/>
      </c>
      <c r="Q149" s="23">
        <f>MIN(F$8,P149)+MAX(0,MIN(P149-MIN(F$8,P149),$C149-((H149-MIN(C$8,G149))+(K149-MIN(D$8,J149))+(N149-MIN(E$8,M149)))))</f>
        <v/>
      </c>
      <c r="R149" s="23">
        <f>ROUND(P149-Q149,2)</f>
        <v/>
      </c>
      <c r="S149" s="23">
        <f>ROUND(U148*(1+G$7/12),2)</f>
        <v/>
      </c>
      <c r="T149" s="23">
        <f>MIN(G$8,S149)+MAX(0,MIN(S149-MIN(G$8,S149),$C149-((H149-MIN(C$8,G149))+(K149-MIN(D$8,J149))+(N149-MIN(E$8,M149))+(Q149-MIN(F$8,P149)))))</f>
        <v/>
      </c>
      <c r="U149" s="23">
        <f>ROUND(S149-T149,2)</f>
        <v/>
      </c>
    </row>
    <row r="150">
      <c r="A150" t="n">
        <v>139</v>
      </c>
      <c r="B150" s="22">
        <f>EDATE(Debts!$B$5,138)</f>
        <v/>
      </c>
      <c r="C150" s="23">
        <f>MAX(0,Debts!$B$6-(MIN(C$8,G150)+MIN(D$8,J150)+MIN(E$8,M150)+MIN(F$8,P150)+MIN(G$8,S150)))</f>
        <v/>
      </c>
      <c r="D150" s="23">
        <f>H150+K150+N150+Q150+T150</f>
        <v/>
      </c>
      <c r="E150" s="23">
        <f>I150+L150+O150+R150+U150</f>
        <v/>
      </c>
      <c r="F150" s="23" t="n"/>
      <c r="G150" s="23">
        <f>ROUND(I149*(1+C$7/12),2)</f>
        <v/>
      </c>
      <c r="H150" s="23">
        <f>MIN(C$8,G150)+MAX(0,MIN(G150-MIN(C$8,G150),$C150-(0)))</f>
        <v/>
      </c>
      <c r="I150" s="23">
        <f>ROUND(G150-H150,2)</f>
        <v/>
      </c>
      <c r="J150" s="23">
        <f>ROUND(L149*(1+D$7/12),2)</f>
        <v/>
      </c>
      <c r="K150" s="23">
        <f>MIN(D$8,J150)+MAX(0,MIN(J150-MIN(D$8,J150),$C150-((H150-MIN(C$8,G150)))))</f>
        <v/>
      </c>
      <c r="L150" s="23">
        <f>ROUND(J150-K150,2)</f>
        <v/>
      </c>
      <c r="M150" s="23">
        <f>ROUND(O149*(1+E$7/12),2)</f>
        <v/>
      </c>
      <c r="N150" s="23">
        <f>MIN(E$8,M150)+MAX(0,MIN(M150-MIN(E$8,M150),$C150-((H150-MIN(C$8,G150))+(K150-MIN(D$8,J150)))))</f>
        <v/>
      </c>
      <c r="O150" s="23">
        <f>ROUND(M150-N150,2)</f>
        <v/>
      </c>
      <c r="P150" s="23">
        <f>ROUND(R149*(1+F$7/12),2)</f>
        <v/>
      </c>
      <c r="Q150" s="23">
        <f>MIN(F$8,P150)+MAX(0,MIN(P150-MIN(F$8,P150),$C150-((H150-MIN(C$8,G150))+(K150-MIN(D$8,J150))+(N150-MIN(E$8,M150)))))</f>
        <v/>
      </c>
      <c r="R150" s="23">
        <f>ROUND(P150-Q150,2)</f>
        <v/>
      </c>
      <c r="S150" s="23">
        <f>ROUND(U149*(1+G$7/12),2)</f>
        <v/>
      </c>
      <c r="T150" s="23">
        <f>MIN(G$8,S150)+MAX(0,MIN(S150-MIN(G$8,S150),$C150-((H150-MIN(C$8,G150))+(K150-MIN(D$8,J150))+(N150-MIN(E$8,M150))+(Q150-MIN(F$8,P150)))))</f>
        <v/>
      </c>
      <c r="U150" s="23">
        <f>ROUND(S150-T150,2)</f>
        <v/>
      </c>
    </row>
    <row r="151">
      <c r="A151" t="n">
        <v>140</v>
      </c>
      <c r="B151" s="22">
        <f>EDATE(Debts!$B$5,139)</f>
        <v/>
      </c>
      <c r="C151" s="23">
        <f>MAX(0,Debts!$B$6-(MIN(C$8,G151)+MIN(D$8,J151)+MIN(E$8,M151)+MIN(F$8,P151)+MIN(G$8,S151)))</f>
        <v/>
      </c>
      <c r="D151" s="23">
        <f>H151+K151+N151+Q151+T151</f>
        <v/>
      </c>
      <c r="E151" s="23">
        <f>I151+L151+O151+R151+U151</f>
        <v/>
      </c>
      <c r="F151" s="23" t="n"/>
      <c r="G151" s="23">
        <f>ROUND(I150*(1+C$7/12),2)</f>
        <v/>
      </c>
      <c r="H151" s="23">
        <f>MIN(C$8,G151)+MAX(0,MIN(G151-MIN(C$8,G151),$C151-(0)))</f>
        <v/>
      </c>
      <c r="I151" s="23">
        <f>ROUND(G151-H151,2)</f>
        <v/>
      </c>
      <c r="J151" s="23">
        <f>ROUND(L150*(1+D$7/12),2)</f>
        <v/>
      </c>
      <c r="K151" s="23">
        <f>MIN(D$8,J151)+MAX(0,MIN(J151-MIN(D$8,J151),$C151-((H151-MIN(C$8,G151)))))</f>
        <v/>
      </c>
      <c r="L151" s="23">
        <f>ROUND(J151-K151,2)</f>
        <v/>
      </c>
      <c r="M151" s="23">
        <f>ROUND(O150*(1+E$7/12),2)</f>
        <v/>
      </c>
      <c r="N151" s="23">
        <f>MIN(E$8,M151)+MAX(0,MIN(M151-MIN(E$8,M151),$C151-((H151-MIN(C$8,G151))+(K151-MIN(D$8,J151)))))</f>
        <v/>
      </c>
      <c r="O151" s="23">
        <f>ROUND(M151-N151,2)</f>
        <v/>
      </c>
      <c r="P151" s="23">
        <f>ROUND(R150*(1+F$7/12),2)</f>
        <v/>
      </c>
      <c r="Q151" s="23">
        <f>MIN(F$8,P151)+MAX(0,MIN(P151-MIN(F$8,P151),$C151-((H151-MIN(C$8,G151))+(K151-MIN(D$8,J151))+(N151-MIN(E$8,M151)))))</f>
        <v/>
      </c>
      <c r="R151" s="23">
        <f>ROUND(P151-Q151,2)</f>
        <v/>
      </c>
      <c r="S151" s="23">
        <f>ROUND(U150*(1+G$7/12),2)</f>
        <v/>
      </c>
      <c r="T151" s="23">
        <f>MIN(G$8,S151)+MAX(0,MIN(S151-MIN(G$8,S151),$C151-((H151-MIN(C$8,G151))+(K151-MIN(D$8,J151))+(N151-MIN(E$8,M151))+(Q151-MIN(F$8,P151)))))</f>
        <v/>
      </c>
      <c r="U151" s="23">
        <f>ROUND(S151-T151,2)</f>
        <v/>
      </c>
    </row>
    <row r="152">
      <c r="A152" t="n">
        <v>141</v>
      </c>
      <c r="B152" s="22">
        <f>EDATE(Debts!$B$5,140)</f>
        <v/>
      </c>
      <c r="C152" s="23">
        <f>MAX(0,Debts!$B$6-(MIN(C$8,G152)+MIN(D$8,J152)+MIN(E$8,M152)+MIN(F$8,P152)+MIN(G$8,S152)))</f>
        <v/>
      </c>
      <c r="D152" s="23">
        <f>H152+K152+N152+Q152+T152</f>
        <v/>
      </c>
      <c r="E152" s="23">
        <f>I152+L152+O152+R152+U152</f>
        <v/>
      </c>
      <c r="F152" s="23" t="n"/>
      <c r="G152" s="23">
        <f>ROUND(I151*(1+C$7/12),2)</f>
        <v/>
      </c>
      <c r="H152" s="23">
        <f>MIN(C$8,G152)+MAX(0,MIN(G152-MIN(C$8,G152),$C152-(0)))</f>
        <v/>
      </c>
      <c r="I152" s="23">
        <f>ROUND(G152-H152,2)</f>
        <v/>
      </c>
      <c r="J152" s="23">
        <f>ROUND(L151*(1+D$7/12),2)</f>
        <v/>
      </c>
      <c r="K152" s="23">
        <f>MIN(D$8,J152)+MAX(0,MIN(J152-MIN(D$8,J152),$C152-((H152-MIN(C$8,G152)))))</f>
        <v/>
      </c>
      <c r="L152" s="23">
        <f>ROUND(J152-K152,2)</f>
        <v/>
      </c>
      <c r="M152" s="23">
        <f>ROUND(O151*(1+E$7/12),2)</f>
        <v/>
      </c>
      <c r="N152" s="23">
        <f>MIN(E$8,M152)+MAX(0,MIN(M152-MIN(E$8,M152),$C152-((H152-MIN(C$8,G152))+(K152-MIN(D$8,J152)))))</f>
        <v/>
      </c>
      <c r="O152" s="23">
        <f>ROUND(M152-N152,2)</f>
        <v/>
      </c>
      <c r="P152" s="23">
        <f>ROUND(R151*(1+F$7/12),2)</f>
        <v/>
      </c>
      <c r="Q152" s="23">
        <f>MIN(F$8,P152)+MAX(0,MIN(P152-MIN(F$8,P152),$C152-((H152-MIN(C$8,G152))+(K152-MIN(D$8,J152))+(N152-MIN(E$8,M152)))))</f>
        <v/>
      </c>
      <c r="R152" s="23">
        <f>ROUND(P152-Q152,2)</f>
        <v/>
      </c>
      <c r="S152" s="23">
        <f>ROUND(U151*(1+G$7/12),2)</f>
        <v/>
      </c>
      <c r="T152" s="23">
        <f>MIN(G$8,S152)+MAX(0,MIN(S152-MIN(G$8,S152),$C152-((H152-MIN(C$8,G152))+(K152-MIN(D$8,J152))+(N152-MIN(E$8,M152))+(Q152-MIN(F$8,P152)))))</f>
        <v/>
      </c>
      <c r="U152" s="23">
        <f>ROUND(S152-T152,2)</f>
        <v/>
      </c>
    </row>
    <row r="153">
      <c r="A153" t="n">
        <v>142</v>
      </c>
      <c r="B153" s="22">
        <f>EDATE(Debts!$B$5,141)</f>
        <v/>
      </c>
      <c r="C153" s="23">
        <f>MAX(0,Debts!$B$6-(MIN(C$8,G153)+MIN(D$8,J153)+MIN(E$8,M153)+MIN(F$8,P153)+MIN(G$8,S153)))</f>
        <v/>
      </c>
      <c r="D153" s="23">
        <f>H153+K153+N153+Q153+T153</f>
        <v/>
      </c>
      <c r="E153" s="23">
        <f>I153+L153+O153+R153+U153</f>
        <v/>
      </c>
      <c r="F153" s="23" t="n"/>
      <c r="G153" s="23">
        <f>ROUND(I152*(1+C$7/12),2)</f>
        <v/>
      </c>
      <c r="H153" s="23">
        <f>MIN(C$8,G153)+MAX(0,MIN(G153-MIN(C$8,G153),$C153-(0)))</f>
        <v/>
      </c>
      <c r="I153" s="23">
        <f>ROUND(G153-H153,2)</f>
        <v/>
      </c>
      <c r="J153" s="23">
        <f>ROUND(L152*(1+D$7/12),2)</f>
        <v/>
      </c>
      <c r="K153" s="23">
        <f>MIN(D$8,J153)+MAX(0,MIN(J153-MIN(D$8,J153),$C153-((H153-MIN(C$8,G153)))))</f>
        <v/>
      </c>
      <c r="L153" s="23">
        <f>ROUND(J153-K153,2)</f>
        <v/>
      </c>
      <c r="M153" s="23">
        <f>ROUND(O152*(1+E$7/12),2)</f>
        <v/>
      </c>
      <c r="N153" s="23">
        <f>MIN(E$8,M153)+MAX(0,MIN(M153-MIN(E$8,M153),$C153-((H153-MIN(C$8,G153))+(K153-MIN(D$8,J153)))))</f>
        <v/>
      </c>
      <c r="O153" s="23">
        <f>ROUND(M153-N153,2)</f>
        <v/>
      </c>
      <c r="P153" s="23">
        <f>ROUND(R152*(1+F$7/12),2)</f>
        <v/>
      </c>
      <c r="Q153" s="23">
        <f>MIN(F$8,P153)+MAX(0,MIN(P153-MIN(F$8,P153),$C153-((H153-MIN(C$8,G153))+(K153-MIN(D$8,J153))+(N153-MIN(E$8,M153)))))</f>
        <v/>
      </c>
      <c r="R153" s="23">
        <f>ROUND(P153-Q153,2)</f>
        <v/>
      </c>
      <c r="S153" s="23">
        <f>ROUND(U152*(1+G$7/12),2)</f>
        <v/>
      </c>
      <c r="T153" s="23">
        <f>MIN(G$8,S153)+MAX(0,MIN(S153-MIN(G$8,S153),$C153-((H153-MIN(C$8,G153))+(K153-MIN(D$8,J153))+(N153-MIN(E$8,M153))+(Q153-MIN(F$8,P153)))))</f>
        <v/>
      </c>
      <c r="U153" s="23">
        <f>ROUND(S153-T153,2)</f>
        <v/>
      </c>
    </row>
    <row r="154">
      <c r="A154" t="n">
        <v>143</v>
      </c>
      <c r="B154" s="22">
        <f>EDATE(Debts!$B$5,142)</f>
        <v/>
      </c>
      <c r="C154" s="23">
        <f>MAX(0,Debts!$B$6-(MIN(C$8,G154)+MIN(D$8,J154)+MIN(E$8,M154)+MIN(F$8,P154)+MIN(G$8,S154)))</f>
        <v/>
      </c>
      <c r="D154" s="23">
        <f>H154+K154+N154+Q154+T154</f>
        <v/>
      </c>
      <c r="E154" s="23">
        <f>I154+L154+O154+R154+U154</f>
        <v/>
      </c>
      <c r="F154" s="23" t="n"/>
      <c r="G154" s="23">
        <f>ROUND(I153*(1+C$7/12),2)</f>
        <v/>
      </c>
      <c r="H154" s="23">
        <f>MIN(C$8,G154)+MAX(0,MIN(G154-MIN(C$8,G154),$C154-(0)))</f>
        <v/>
      </c>
      <c r="I154" s="23">
        <f>ROUND(G154-H154,2)</f>
        <v/>
      </c>
      <c r="J154" s="23">
        <f>ROUND(L153*(1+D$7/12),2)</f>
        <v/>
      </c>
      <c r="K154" s="23">
        <f>MIN(D$8,J154)+MAX(0,MIN(J154-MIN(D$8,J154),$C154-((H154-MIN(C$8,G154)))))</f>
        <v/>
      </c>
      <c r="L154" s="23">
        <f>ROUND(J154-K154,2)</f>
        <v/>
      </c>
      <c r="M154" s="23">
        <f>ROUND(O153*(1+E$7/12),2)</f>
        <v/>
      </c>
      <c r="N154" s="23">
        <f>MIN(E$8,M154)+MAX(0,MIN(M154-MIN(E$8,M154),$C154-((H154-MIN(C$8,G154))+(K154-MIN(D$8,J154)))))</f>
        <v/>
      </c>
      <c r="O154" s="23">
        <f>ROUND(M154-N154,2)</f>
        <v/>
      </c>
      <c r="P154" s="23">
        <f>ROUND(R153*(1+F$7/12),2)</f>
        <v/>
      </c>
      <c r="Q154" s="23">
        <f>MIN(F$8,P154)+MAX(0,MIN(P154-MIN(F$8,P154),$C154-((H154-MIN(C$8,G154))+(K154-MIN(D$8,J154))+(N154-MIN(E$8,M154)))))</f>
        <v/>
      </c>
      <c r="R154" s="23">
        <f>ROUND(P154-Q154,2)</f>
        <v/>
      </c>
      <c r="S154" s="23">
        <f>ROUND(U153*(1+G$7/12),2)</f>
        <v/>
      </c>
      <c r="T154" s="23">
        <f>MIN(G$8,S154)+MAX(0,MIN(S154-MIN(G$8,S154),$C154-((H154-MIN(C$8,G154))+(K154-MIN(D$8,J154))+(N154-MIN(E$8,M154))+(Q154-MIN(F$8,P154)))))</f>
        <v/>
      </c>
      <c r="U154" s="23">
        <f>ROUND(S154-T154,2)</f>
        <v/>
      </c>
    </row>
    <row r="155">
      <c r="A155" t="n">
        <v>144</v>
      </c>
      <c r="B155" s="22">
        <f>EDATE(Debts!$B$5,143)</f>
        <v/>
      </c>
      <c r="C155" s="23">
        <f>MAX(0,Debts!$B$6-(MIN(C$8,G155)+MIN(D$8,J155)+MIN(E$8,M155)+MIN(F$8,P155)+MIN(G$8,S155)))</f>
        <v/>
      </c>
      <c r="D155" s="23">
        <f>H155+K155+N155+Q155+T155</f>
        <v/>
      </c>
      <c r="E155" s="23">
        <f>I155+L155+O155+R155+U155</f>
        <v/>
      </c>
      <c r="F155" s="23" t="n"/>
      <c r="G155" s="23">
        <f>ROUND(I154*(1+C$7/12),2)</f>
        <v/>
      </c>
      <c r="H155" s="23">
        <f>MIN(C$8,G155)+MAX(0,MIN(G155-MIN(C$8,G155),$C155-(0)))</f>
        <v/>
      </c>
      <c r="I155" s="23">
        <f>ROUND(G155-H155,2)</f>
        <v/>
      </c>
      <c r="J155" s="23">
        <f>ROUND(L154*(1+D$7/12),2)</f>
        <v/>
      </c>
      <c r="K155" s="23">
        <f>MIN(D$8,J155)+MAX(0,MIN(J155-MIN(D$8,J155),$C155-((H155-MIN(C$8,G155)))))</f>
        <v/>
      </c>
      <c r="L155" s="23">
        <f>ROUND(J155-K155,2)</f>
        <v/>
      </c>
      <c r="M155" s="23">
        <f>ROUND(O154*(1+E$7/12),2)</f>
        <v/>
      </c>
      <c r="N155" s="23">
        <f>MIN(E$8,M155)+MAX(0,MIN(M155-MIN(E$8,M155),$C155-((H155-MIN(C$8,G155))+(K155-MIN(D$8,J155)))))</f>
        <v/>
      </c>
      <c r="O155" s="23">
        <f>ROUND(M155-N155,2)</f>
        <v/>
      </c>
      <c r="P155" s="23">
        <f>ROUND(R154*(1+F$7/12),2)</f>
        <v/>
      </c>
      <c r="Q155" s="23">
        <f>MIN(F$8,P155)+MAX(0,MIN(P155-MIN(F$8,P155),$C155-((H155-MIN(C$8,G155))+(K155-MIN(D$8,J155))+(N155-MIN(E$8,M155)))))</f>
        <v/>
      </c>
      <c r="R155" s="23">
        <f>ROUND(P155-Q155,2)</f>
        <v/>
      </c>
      <c r="S155" s="23">
        <f>ROUND(U154*(1+G$7/12),2)</f>
        <v/>
      </c>
      <c r="T155" s="23">
        <f>MIN(G$8,S155)+MAX(0,MIN(S155-MIN(G$8,S155),$C155-((H155-MIN(C$8,G155))+(K155-MIN(D$8,J155))+(N155-MIN(E$8,M155))+(Q155-MIN(F$8,P155)))))</f>
        <v/>
      </c>
      <c r="U155" s="23">
        <f>ROUND(S155-T155,2)</f>
        <v/>
      </c>
    </row>
    <row r="156">
      <c r="A156" t="n">
        <v>145</v>
      </c>
      <c r="B156" s="22">
        <f>EDATE(Debts!$B$5,144)</f>
        <v/>
      </c>
      <c r="C156" s="23">
        <f>MAX(0,Debts!$B$6-(MIN(C$8,G156)+MIN(D$8,J156)+MIN(E$8,M156)+MIN(F$8,P156)+MIN(G$8,S156)))</f>
        <v/>
      </c>
      <c r="D156" s="23">
        <f>H156+K156+N156+Q156+T156</f>
        <v/>
      </c>
      <c r="E156" s="23">
        <f>I156+L156+O156+R156+U156</f>
        <v/>
      </c>
      <c r="F156" s="23" t="n"/>
      <c r="G156" s="23">
        <f>ROUND(I155*(1+C$7/12),2)</f>
        <v/>
      </c>
      <c r="H156" s="23">
        <f>MIN(C$8,G156)+MAX(0,MIN(G156-MIN(C$8,G156),$C156-(0)))</f>
        <v/>
      </c>
      <c r="I156" s="23">
        <f>ROUND(G156-H156,2)</f>
        <v/>
      </c>
      <c r="J156" s="23">
        <f>ROUND(L155*(1+D$7/12),2)</f>
        <v/>
      </c>
      <c r="K156" s="23">
        <f>MIN(D$8,J156)+MAX(0,MIN(J156-MIN(D$8,J156),$C156-((H156-MIN(C$8,G156)))))</f>
        <v/>
      </c>
      <c r="L156" s="23">
        <f>ROUND(J156-K156,2)</f>
        <v/>
      </c>
      <c r="M156" s="23">
        <f>ROUND(O155*(1+E$7/12),2)</f>
        <v/>
      </c>
      <c r="N156" s="23">
        <f>MIN(E$8,M156)+MAX(0,MIN(M156-MIN(E$8,M156),$C156-((H156-MIN(C$8,G156))+(K156-MIN(D$8,J156)))))</f>
        <v/>
      </c>
      <c r="O156" s="23">
        <f>ROUND(M156-N156,2)</f>
        <v/>
      </c>
      <c r="P156" s="23">
        <f>ROUND(R155*(1+F$7/12),2)</f>
        <v/>
      </c>
      <c r="Q156" s="23">
        <f>MIN(F$8,P156)+MAX(0,MIN(P156-MIN(F$8,P156),$C156-((H156-MIN(C$8,G156))+(K156-MIN(D$8,J156))+(N156-MIN(E$8,M156)))))</f>
        <v/>
      </c>
      <c r="R156" s="23">
        <f>ROUND(P156-Q156,2)</f>
        <v/>
      </c>
      <c r="S156" s="23">
        <f>ROUND(U155*(1+G$7/12),2)</f>
        <v/>
      </c>
      <c r="T156" s="23">
        <f>MIN(G$8,S156)+MAX(0,MIN(S156-MIN(G$8,S156),$C156-((H156-MIN(C$8,G156))+(K156-MIN(D$8,J156))+(N156-MIN(E$8,M156))+(Q156-MIN(F$8,P156)))))</f>
        <v/>
      </c>
      <c r="U156" s="23">
        <f>ROUND(S156-T156,2)</f>
        <v/>
      </c>
    </row>
    <row r="157">
      <c r="A157" t="n">
        <v>146</v>
      </c>
      <c r="B157" s="22">
        <f>EDATE(Debts!$B$5,145)</f>
        <v/>
      </c>
      <c r="C157" s="23">
        <f>MAX(0,Debts!$B$6-(MIN(C$8,G157)+MIN(D$8,J157)+MIN(E$8,M157)+MIN(F$8,P157)+MIN(G$8,S157)))</f>
        <v/>
      </c>
      <c r="D157" s="23">
        <f>H157+K157+N157+Q157+T157</f>
        <v/>
      </c>
      <c r="E157" s="23">
        <f>I157+L157+O157+R157+U157</f>
        <v/>
      </c>
      <c r="F157" s="23" t="n"/>
      <c r="G157" s="23">
        <f>ROUND(I156*(1+C$7/12),2)</f>
        <v/>
      </c>
      <c r="H157" s="23">
        <f>MIN(C$8,G157)+MAX(0,MIN(G157-MIN(C$8,G157),$C157-(0)))</f>
        <v/>
      </c>
      <c r="I157" s="23">
        <f>ROUND(G157-H157,2)</f>
        <v/>
      </c>
      <c r="J157" s="23">
        <f>ROUND(L156*(1+D$7/12),2)</f>
        <v/>
      </c>
      <c r="K157" s="23">
        <f>MIN(D$8,J157)+MAX(0,MIN(J157-MIN(D$8,J157),$C157-((H157-MIN(C$8,G157)))))</f>
        <v/>
      </c>
      <c r="L157" s="23">
        <f>ROUND(J157-K157,2)</f>
        <v/>
      </c>
      <c r="M157" s="23">
        <f>ROUND(O156*(1+E$7/12),2)</f>
        <v/>
      </c>
      <c r="N157" s="23">
        <f>MIN(E$8,M157)+MAX(0,MIN(M157-MIN(E$8,M157),$C157-((H157-MIN(C$8,G157))+(K157-MIN(D$8,J157)))))</f>
        <v/>
      </c>
      <c r="O157" s="23">
        <f>ROUND(M157-N157,2)</f>
        <v/>
      </c>
      <c r="P157" s="23">
        <f>ROUND(R156*(1+F$7/12),2)</f>
        <v/>
      </c>
      <c r="Q157" s="23">
        <f>MIN(F$8,P157)+MAX(0,MIN(P157-MIN(F$8,P157),$C157-((H157-MIN(C$8,G157))+(K157-MIN(D$8,J157))+(N157-MIN(E$8,M157)))))</f>
        <v/>
      </c>
      <c r="R157" s="23">
        <f>ROUND(P157-Q157,2)</f>
        <v/>
      </c>
      <c r="S157" s="23">
        <f>ROUND(U156*(1+G$7/12),2)</f>
        <v/>
      </c>
      <c r="T157" s="23">
        <f>MIN(G$8,S157)+MAX(0,MIN(S157-MIN(G$8,S157),$C157-((H157-MIN(C$8,G157))+(K157-MIN(D$8,J157))+(N157-MIN(E$8,M157))+(Q157-MIN(F$8,P157)))))</f>
        <v/>
      </c>
      <c r="U157" s="23">
        <f>ROUND(S157-T157,2)</f>
        <v/>
      </c>
    </row>
    <row r="158">
      <c r="A158" t="n">
        <v>147</v>
      </c>
      <c r="B158" s="22">
        <f>EDATE(Debts!$B$5,146)</f>
        <v/>
      </c>
      <c r="C158" s="23">
        <f>MAX(0,Debts!$B$6-(MIN(C$8,G158)+MIN(D$8,J158)+MIN(E$8,M158)+MIN(F$8,P158)+MIN(G$8,S158)))</f>
        <v/>
      </c>
      <c r="D158" s="23">
        <f>H158+K158+N158+Q158+T158</f>
        <v/>
      </c>
      <c r="E158" s="23">
        <f>I158+L158+O158+R158+U158</f>
        <v/>
      </c>
      <c r="F158" s="23" t="n"/>
      <c r="G158" s="23">
        <f>ROUND(I157*(1+C$7/12),2)</f>
        <v/>
      </c>
      <c r="H158" s="23">
        <f>MIN(C$8,G158)+MAX(0,MIN(G158-MIN(C$8,G158),$C158-(0)))</f>
        <v/>
      </c>
      <c r="I158" s="23">
        <f>ROUND(G158-H158,2)</f>
        <v/>
      </c>
      <c r="J158" s="23">
        <f>ROUND(L157*(1+D$7/12),2)</f>
        <v/>
      </c>
      <c r="K158" s="23">
        <f>MIN(D$8,J158)+MAX(0,MIN(J158-MIN(D$8,J158),$C158-((H158-MIN(C$8,G158)))))</f>
        <v/>
      </c>
      <c r="L158" s="23">
        <f>ROUND(J158-K158,2)</f>
        <v/>
      </c>
      <c r="M158" s="23">
        <f>ROUND(O157*(1+E$7/12),2)</f>
        <v/>
      </c>
      <c r="N158" s="23">
        <f>MIN(E$8,M158)+MAX(0,MIN(M158-MIN(E$8,M158),$C158-((H158-MIN(C$8,G158))+(K158-MIN(D$8,J158)))))</f>
        <v/>
      </c>
      <c r="O158" s="23">
        <f>ROUND(M158-N158,2)</f>
        <v/>
      </c>
      <c r="P158" s="23">
        <f>ROUND(R157*(1+F$7/12),2)</f>
        <v/>
      </c>
      <c r="Q158" s="23">
        <f>MIN(F$8,P158)+MAX(0,MIN(P158-MIN(F$8,P158),$C158-((H158-MIN(C$8,G158))+(K158-MIN(D$8,J158))+(N158-MIN(E$8,M158)))))</f>
        <v/>
      </c>
      <c r="R158" s="23">
        <f>ROUND(P158-Q158,2)</f>
        <v/>
      </c>
      <c r="S158" s="23">
        <f>ROUND(U157*(1+G$7/12),2)</f>
        <v/>
      </c>
      <c r="T158" s="23">
        <f>MIN(G$8,S158)+MAX(0,MIN(S158-MIN(G$8,S158),$C158-((H158-MIN(C$8,G158))+(K158-MIN(D$8,J158))+(N158-MIN(E$8,M158))+(Q158-MIN(F$8,P158)))))</f>
        <v/>
      </c>
      <c r="U158" s="23">
        <f>ROUND(S158-T158,2)</f>
        <v/>
      </c>
    </row>
    <row r="159">
      <c r="A159" t="n">
        <v>148</v>
      </c>
      <c r="B159" s="22">
        <f>EDATE(Debts!$B$5,147)</f>
        <v/>
      </c>
      <c r="C159" s="23">
        <f>MAX(0,Debts!$B$6-(MIN(C$8,G159)+MIN(D$8,J159)+MIN(E$8,M159)+MIN(F$8,P159)+MIN(G$8,S159)))</f>
        <v/>
      </c>
      <c r="D159" s="23">
        <f>H159+K159+N159+Q159+T159</f>
        <v/>
      </c>
      <c r="E159" s="23">
        <f>I159+L159+O159+R159+U159</f>
        <v/>
      </c>
      <c r="F159" s="23" t="n"/>
      <c r="G159" s="23">
        <f>ROUND(I158*(1+C$7/12),2)</f>
        <v/>
      </c>
      <c r="H159" s="23">
        <f>MIN(C$8,G159)+MAX(0,MIN(G159-MIN(C$8,G159),$C159-(0)))</f>
        <v/>
      </c>
      <c r="I159" s="23">
        <f>ROUND(G159-H159,2)</f>
        <v/>
      </c>
      <c r="J159" s="23">
        <f>ROUND(L158*(1+D$7/12),2)</f>
        <v/>
      </c>
      <c r="K159" s="23">
        <f>MIN(D$8,J159)+MAX(0,MIN(J159-MIN(D$8,J159),$C159-((H159-MIN(C$8,G159)))))</f>
        <v/>
      </c>
      <c r="L159" s="23">
        <f>ROUND(J159-K159,2)</f>
        <v/>
      </c>
      <c r="M159" s="23">
        <f>ROUND(O158*(1+E$7/12),2)</f>
        <v/>
      </c>
      <c r="N159" s="23">
        <f>MIN(E$8,M159)+MAX(0,MIN(M159-MIN(E$8,M159),$C159-((H159-MIN(C$8,G159))+(K159-MIN(D$8,J159)))))</f>
        <v/>
      </c>
      <c r="O159" s="23">
        <f>ROUND(M159-N159,2)</f>
        <v/>
      </c>
      <c r="P159" s="23">
        <f>ROUND(R158*(1+F$7/12),2)</f>
        <v/>
      </c>
      <c r="Q159" s="23">
        <f>MIN(F$8,P159)+MAX(0,MIN(P159-MIN(F$8,P159),$C159-((H159-MIN(C$8,G159))+(K159-MIN(D$8,J159))+(N159-MIN(E$8,M159)))))</f>
        <v/>
      </c>
      <c r="R159" s="23">
        <f>ROUND(P159-Q159,2)</f>
        <v/>
      </c>
      <c r="S159" s="23">
        <f>ROUND(U158*(1+G$7/12),2)</f>
        <v/>
      </c>
      <c r="T159" s="23">
        <f>MIN(G$8,S159)+MAX(0,MIN(S159-MIN(G$8,S159),$C159-((H159-MIN(C$8,G159))+(K159-MIN(D$8,J159))+(N159-MIN(E$8,M159))+(Q159-MIN(F$8,P159)))))</f>
        <v/>
      </c>
      <c r="U159" s="23">
        <f>ROUND(S159-T159,2)</f>
        <v/>
      </c>
    </row>
    <row r="160">
      <c r="A160" t="n">
        <v>149</v>
      </c>
      <c r="B160" s="22">
        <f>EDATE(Debts!$B$5,148)</f>
        <v/>
      </c>
      <c r="C160" s="23">
        <f>MAX(0,Debts!$B$6-(MIN(C$8,G160)+MIN(D$8,J160)+MIN(E$8,M160)+MIN(F$8,P160)+MIN(G$8,S160)))</f>
        <v/>
      </c>
      <c r="D160" s="23">
        <f>H160+K160+N160+Q160+T160</f>
        <v/>
      </c>
      <c r="E160" s="23">
        <f>I160+L160+O160+R160+U160</f>
        <v/>
      </c>
      <c r="F160" s="23" t="n"/>
      <c r="G160" s="23">
        <f>ROUND(I159*(1+C$7/12),2)</f>
        <v/>
      </c>
      <c r="H160" s="23">
        <f>MIN(C$8,G160)+MAX(0,MIN(G160-MIN(C$8,G160),$C160-(0)))</f>
        <v/>
      </c>
      <c r="I160" s="23">
        <f>ROUND(G160-H160,2)</f>
        <v/>
      </c>
      <c r="J160" s="23">
        <f>ROUND(L159*(1+D$7/12),2)</f>
        <v/>
      </c>
      <c r="K160" s="23">
        <f>MIN(D$8,J160)+MAX(0,MIN(J160-MIN(D$8,J160),$C160-((H160-MIN(C$8,G160)))))</f>
        <v/>
      </c>
      <c r="L160" s="23">
        <f>ROUND(J160-K160,2)</f>
        <v/>
      </c>
      <c r="M160" s="23">
        <f>ROUND(O159*(1+E$7/12),2)</f>
        <v/>
      </c>
      <c r="N160" s="23">
        <f>MIN(E$8,M160)+MAX(0,MIN(M160-MIN(E$8,M160),$C160-((H160-MIN(C$8,G160))+(K160-MIN(D$8,J160)))))</f>
        <v/>
      </c>
      <c r="O160" s="23">
        <f>ROUND(M160-N160,2)</f>
        <v/>
      </c>
      <c r="P160" s="23">
        <f>ROUND(R159*(1+F$7/12),2)</f>
        <v/>
      </c>
      <c r="Q160" s="23">
        <f>MIN(F$8,P160)+MAX(0,MIN(P160-MIN(F$8,P160),$C160-((H160-MIN(C$8,G160))+(K160-MIN(D$8,J160))+(N160-MIN(E$8,M160)))))</f>
        <v/>
      </c>
      <c r="R160" s="23">
        <f>ROUND(P160-Q160,2)</f>
        <v/>
      </c>
      <c r="S160" s="23">
        <f>ROUND(U159*(1+G$7/12),2)</f>
        <v/>
      </c>
      <c r="T160" s="23">
        <f>MIN(G$8,S160)+MAX(0,MIN(S160-MIN(G$8,S160),$C160-((H160-MIN(C$8,G160))+(K160-MIN(D$8,J160))+(N160-MIN(E$8,M160))+(Q160-MIN(F$8,P160)))))</f>
        <v/>
      </c>
      <c r="U160" s="23">
        <f>ROUND(S160-T160,2)</f>
        <v/>
      </c>
    </row>
    <row r="161">
      <c r="A161" t="n">
        <v>150</v>
      </c>
      <c r="B161" s="22">
        <f>EDATE(Debts!$B$5,149)</f>
        <v/>
      </c>
      <c r="C161" s="23">
        <f>MAX(0,Debts!$B$6-(MIN(C$8,G161)+MIN(D$8,J161)+MIN(E$8,M161)+MIN(F$8,P161)+MIN(G$8,S161)))</f>
        <v/>
      </c>
      <c r="D161" s="23">
        <f>H161+K161+N161+Q161+T161</f>
        <v/>
      </c>
      <c r="E161" s="23">
        <f>I161+L161+O161+R161+U161</f>
        <v/>
      </c>
      <c r="F161" s="23" t="n"/>
      <c r="G161" s="23">
        <f>ROUND(I160*(1+C$7/12),2)</f>
        <v/>
      </c>
      <c r="H161" s="23">
        <f>MIN(C$8,G161)+MAX(0,MIN(G161-MIN(C$8,G161),$C161-(0)))</f>
        <v/>
      </c>
      <c r="I161" s="23">
        <f>ROUND(G161-H161,2)</f>
        <v/>
      </c>
      <c r="J161" s="23">
        <f>ROUND(L160*(1+D$7/12),2)</f>
        <v/>
      </c>
      <c r="K161" s="23">
        <f>MIN(D$8,J161)+MAX(0,MIN(J161-MIN(D$8,J161),$C161-((H161-MIN(C$8,G161)))))</f>
        <v/>
      </c>
      <c r="L161" s="23">
        <f>ROUND(J161-K161,2)</f>
        <v/>
      </c>
      <c r="M161" s="23">
        <f>ROUND(O160*(1+E$7/12),2)</f>
        <v/>
      </c>
      <c r="N161" s="23">
        <f>MIN(E$8,M161)+MAX(0,MIN(M161-MIN(E$8,M161),$C161-((H161-MIN(C$8,G161))+(K161-MIN(D$8,J161)))))</f>
        <v/>
      </c>
      <c r="O161" s="23">
        <f>ROUND(M161-N161,2)</f>
        <v/>
      </c>
      <c r="P161" s="23">
        <f>ROUND(R160*(1+F$7/12),2)</f>
        <v/>
      </c>
      <c r="Q161" s="23">
        <f>MIN(F$8,P161)+MAX(0,MIN(P161-MIN(F$8,P161),$C161-((H161-MIN(C$8,G161))+(K161-MIN(D$8,J161))+(N161-MIN(E$8,M161)))))</f>
        <v/>
      </c>
      <c r="R161" s="23">
        <f>ROUND(P161-Q161,2)</f>
        <v/>
      </c>
      <c r="S161" s="23">
        <f>ROUND(U160*(1+G$7/12),2)</f>
        <v/>
      </c>
      <c r="T161" s="23">
        <f>MIN(G$8,S161)+MAX(0,MIN(S161-MIN(G$8,S161),$C161-((H161-MIN(C$8,G161))+(K161-MIN(D$8,J161))+(N161-MIN(E$8,M161))+(Q161-MIN(F$8,P161)))))</f>
        <v/>
      </c>
      <c r="U161" s="23">
        <f>ROUND(S161-T161,2)</f>
        <v/>
      </c>
    </row>
    <row r="162">
      <c r="A162" t="n">
        <v>151</v>
      </c>
      <c r="B162" s="22">
        <f>EDATE(Debts!$B$5,150)</f>
        <v/>
      </c>
      <c r="C162" s="23">
        <f>MAX(0,Debts!$B$6-(MIN(C$8,G162)+MIN(D$8,J162)+MIN(E$8,M162)+MIN(F$8,P162)+MIN(G$8,S162)))</f>
        <v/>
      </c>
      <c r="D162" s="23">
        <f>H162+K162+N162+Q162+T162</f>
        <v/>
      </c>
      <c r="E162" s="23">
        <f>I162+L162+O162+R162+U162</f>
        <v/>
      </c>
      <c r="F162" s="23" t="n"/>
      <c r="G162" s="23">
        <f>ROUND(I161*(1+C$7/12),2)</f>
        <v/>
      </c>
      <c r="H162" s="23">
        <f>MIN(C$8,G162)+MAX(0,MIN(G162-MIN(C$8,G162),$C162-(0)))</f>
        <v/>
      </c>
      <c r="I162" s="23">
        <f>ROUND(G162-H162,2)</f>
        <v/>
      </c>
      <c r="J162" s="23">
        <f>ROUND(L161*(1+D$7/12),2)</f>
        <v/>
      </c>
      <c r="K162" s="23">
        <f>MIN(D$8,J162)+MAX(0,MIN(J162-MIN(D$8,J162),$C162-((H162-MIN(C$8,G162)))))</f>
        <v/>
      </c>
      <c r="L162" s="23">
        <f>ROUND(J162-K162,2)</f>
        <v/>
      </c>
      <c r="M162" s="23">
        <f>ROUND(O161*(1+E$7/12),2)</f>
        <v/>
      </c>
      <c r="N162" s="23">
        <f>MIN(E$8,M162)+MAX(0,MIN(M162-MIN(E$8,M162),$C162-((H162-MIN(C$8,G162))+(K162-MIN(D$8,J162)))))</f>
        <v/>
      </c>
      <c r="O162" s="23">
        <f>ROUND(M162-N162,2)</f>
        <v/>
      </c>
      <c r="P162" s="23">
        <f>ROUND(R161*(1+F$7/12),2)</f>
        <v/>
      </c>
      <c r="Q162" s="23">
        <f>MIN(F$8,P162)+MAX(0,MIN(P162-MIN(F$8,P162),$C162-((H162-MIN(C$8,G162))+(K162-MIN(D$8,J162))+(N162-MIN(E$8,M162)))))</f>
        <v/>
      </c>
      <c r="R162" s="23">
        <f>ROUND(P162-Q162,2)</f>
        <v/>
      </c>
      <c r="S162" s="23">
        <f>ROUND(U161*(1+G$7/12),2)</f>
        <v/>
      </c>
      <c r="T162" s="23">
        <f>MIN(G$8,S162)+MAX(0,MIN(S162-MIN(G$8,S162),$C162-((H162-MIN(C$8,G162))+(K162-MIN(D$8,J162))+(N162-MIN(E$8,M162))+(Q162-MIN(F$8,P162)))))</f>
        <v/>
      </c>
      <c r="U162" s="23">
        <f>ROUND(S162-T162,2)</f>
        <v/>
      </c>
    </row>
    <row r="163">
      <c r="A163" t="n">
        <v>152</v>
      </c>
      <c r="B163" s="22">
        <f>EDATE(Debts!$B$5,151)</f>
        <v/>
      </c>
      <c r="C163" s="23">
        <f>MAX(0,Debts!$B$6-(MIN(C$8,G163)+MIN(D$8,J163)+MIN(E$8,M163)+MIN(F$8,P163)+MIN(G$8,S163)))</f>
        <v/>
      </c>
      <c r="D163" s="23">
        <f>H163+K163+N163+Q163+T163</f>
        <v/>
      </c>
      <c r="E163" s="23">
        <f>I163+L163+O163+R163+U163</f>
        <v/>
      </c>
      <c r="F163" s="23" t="n"/>
      <c r="G163" s="23">
        <f>ROUND(I162*(1+C$7/12),2)</f>
        <v/>
      </c>
      <c r="H163" s="23">
        <f>MIN(C$8,G163)+MAX(0,MIN(G163-MIN(C$8,G163),$C163-(0)))</f>
        <v/>
      </c>
      <c r="I163" s="23">
        <f>ROUND(G163-H163,2)</f>
        <v/>
      </c>
      <c r="J163" s="23">
        <f>ROUND(L162*(1+D$7/12),2)</f>
        <v/>
      </c>
      <c r="K163" s="23">
        <f>MIN(D$8,J163)+MAX(0,MIN(J163-MIN(D$8,J163),$C163-((H163-MIN(C$8,G163)))))</f>
        <v/>
      </c>
      <c r="L163" s="23">
        <f>ROUND(J163-K163,2)</f>
        <v/>
      </c>
      <c r="M163" s="23">
        <f>ROUND(O162*(1+E$7/12),2)</f>
        <v/>
      </c>
      <c r="N163" s="23">
        <f>MIN(E$8,M163)+MAX(0,MIN(M163-MIN(E$8,M163),$C163-((H163-MIN(C$8,G163))+(K163-MIN(D$8,J163)))))</f>
        <v/>
      </c>
      <c r="O163" s="23">
        <f>ROUND(M163-N163,2)</f>
        <v/>
      </c>
      <c r="P163" s="23">
        <f>ROUND(R162*(1+F$7/12),2)</f>
        <v/>
      </c>
      <c r="Q163" s="23">
        <f>MIN(F$8,P163)+MAX(0,MIN(P163-MIN(F$8,P163),$C163-((H163-MIN(C$8,G163))+(K163-MIN(D$8,J163))+(N163-MIN(E$8,M163)))))</f>
        <v/>
      </c>
      <c r="R163" s="23">
        <f>ROUND(P163-Q163,2)</f>
        <v/>
      </c>
      <c r="S163" s="23">
        <f>ROUND(U162*(1+G$7/12),2)</f>
        <v/>
      </c>
      <c r="T163" s="23">
        <f>MIN(G$8,S163)+MAX(0,MIN(S163-MIN(G$8,S163),$C163-((H163-MIN(C$8,G163))+(K163-MIN(D$8,J163))+(N163-MIN(E$8,M163))+(Q163-MIN(F$8,P163)))))</f>
        <v/>
      </c>
      <c r="U163" s="23">
        <f>ROUND(S163-T163,2)</f>
        <v/>
      </c>
    </row>
    <row r="164">
      <c r="A164" t="n">
        <v>153</v>
      </c>
      <c r="B164" s="22">
        <f>EDATE(Debts!$B$5,152)</f>
        <v/>
      </c>
      <c r="C164" s="23">
        <f>MAX(0,Debts!$B$6-(MIN(C$8,G164)+MIN(D$8,J164)+MIN(E$8,M164)+MIN(F$8,P164)+MIN(G$8,S164)))</f>
        <v/>
      </c>
      <c r="D164" s="23">
        <f>H164+K164+N164+Q164+T164</f>
        <v/>
      </c>
      <c r="E164" s="23">
        <f>I164+L164+O164+R164+U164</f>
        <v/>
      </c>
      <c r="F164" s="23" t="n"/>
      <c r="G164" s="23">
        <f>ROUND(I163*(1+C$7/12),2)</f>
        <v/>
      </c>
      <c r="H164" s="23">
        <f>MIN(C$8,G164)+MAX(0,MIN(G164-MIN(C$8,G164),$C164-(0)))</f>
        <v/>
      </c>
      <c r="I164" s="23">
        <f>ROUND(G164-H164,2)</f>
        <v/>
      </c>
      <c r="J164" s="23">
        <f>ROUND(L163*(1+D$7/12),2)</f>
        <v/>
      </c>
      <c r="K164" s="23">
        <f>MIN(D$8,J164)+MAX(0,MIN(J164-MIN(D$8,J164),$C164-((H164-MIN(C$8,G164)))))</f>
        <v/>
      </c>
      <c r="L164" s="23">
        <f>ROUND(J164-K164,2)</f>
        <v/>
      </c>
      <c r="M164" s="23">
        <f>ROUND(O163*(1+E$7/12),2)</f>
        <v/>
      </c>
      <c r="N164" s="23">
        <f>MIN(E$8,M164)+MAX(0,MIN(M164-MIN(E$8,M164),$C164-((H164-MIN(C$8,G164))+(K164-MIN(D$8,J164)))))</f>
        <v/>
      </c>
      <c r="O164" s="23">
        <f>ROUND(M164-N164,2)</f>
        <v/>
      </c>
      <c r="P164" s="23">
        <f>ROUND(R163*(1+F$7/12),2)</f>
        <v/>
      </c>
      <c r="Q164" s="23">
        <f>MIN(F$8,P164)+MAX(0,MIN(P164-MIN(F$8,P164),$C164-((H164-MIN(C$8,G164))+(K164-MIN(D$8,J164))+(N164-MIN(E$8,M164)))))</f>
        <v/>
      </c>
      <c r="R164" s="23">
        <f>ROUND(P164-Q164,2)</f>
        <v/>
      </c>
      <c r="S164" s="23">
        <f>ROUND(U163*(1+G$7/12),2)</f>
        <v/>
      </c>
      <c r="T164" s="23">
        <f>MIN(G$8,S164)+MAX(0,MIN(S164-MIN(G$8,S164),$C164-((H164-MIN(C$8,G164))+(K164-MIN(D$8,J164))+(N164-MIN(E$8,M164))+(Q164-MIN(F$8,P164)))))</f>
        <v/>
      </c>
      <c r="U164" s="23">
        <f>ROUND(S164-T164,2)</f>
        <v/>
      </c>
    </row>
    <row r="165">
      <c r="A165" t="n">
        <v>154</v>
      </c>
      <c r="B165" s="22">
        <f>EDATE(Debts!$B$5,153)</f>
        <v/>
      </c>
      <c r="C165" s="23">
        <f>MAX(0,Debts!$B$6-(MIN(C$8,G165)+MIN(D$8,J165)+MIN(E$8,M165)+MIN(F$8,P165)+MIN(G$8,S165)))</f>
        <v/>
      </c>
      <c r="D165" s="23">
        <f>H165+K165+N165+Q165+T165</f>
        <v/>
      </c>
      <c r="E165" s="23">
        <f>I165+L165+O165+R165+U165</f>
        <v/>
      </c>
      <c r="F165" s="23" t="n"/>
      <c r="G165" s="23">
        <f>ROUND(I164*(1+C$7/12),2)</f>
        <v/>
      </c>
      <c r="H165" s="23">
        <f>MIN(C$8,G165)+MAX(0,MIN(G165-MIN(C$8,G165),$C165-(0)))</f>
        <v/>
      </c>
      <c r="I165" s="23">
        <f>ROUND(G165-H165,2)</f>
        <v/>
      </c>
      <c r="J165" s="23">
        <f>ROUND(L164*(1+D$7/12),2)</f>
        <v/>
      </c>
      <c r="K165" s="23">
        <f>MIN(D$8,J165)+MAX(0,MIN(J165-MIN(D$8,J165),$C165-((H165-MIN(C$8,G165)))))</f>
        <v/>
      </c>
      <c r="L165" s="23">
        <f>ROUND(J165-K165,2)</f>
        <v/>
      </c>
      <c r="M165" s="23">
        <f>ROUND(O164*(1+E$7/12),2)</f>
        <v/>
      </c>
      <c r="N165" s="23">
        <f>MIN(E$8,M165)+MAX(0,MIN(M165-MIN(E$8,M165),$C165-((H165-MIN(C$8,G165))+(K165-MIN(D$8,J165)))))</f>
        <v/>
      </c>
      <c r="O165" s="23">
        <f>ROUND(M165-N165,2)</f>
        <v/>
      </c>
      <c r="P165" s="23">
        <f>ROUND(R164*(1+F$7/12),2)</f>
        <v/>
      </c>
      <c r="Q165" s="23">
        <f>MIN(F$8,P165)+MAX(0,MIN(P165-MIN(F$8,P165),$C165-((H165-MIN(C$8,G165))+(K165-MIN(D$8,J165))+(N165-MIN(E$8,M165)))))</f>
        <v/>
      </c>
      <c r="R165" s="23">
        <f>ROUND(P165-Q165,2)</f>
        <v/>
      </c>
      <c r="S165" s="23">
        <f>ROUND(U164*(1+G$7/12),2)</f>
        <v/>
      </c>
      <c r="T165" s="23">
        <f>MIN(G$8,S165)+MAX(0,MIN(S165-MIN(G$8,S165),$C165-((H165-MIN(C$8,G165))+(K165-MIN(D$8,J165))+(N165-MIN(E$8,M165))+(Q165-MIN(F$8,P165)))))</f>
        <v/>
      </c>
      <c r="U165" s="23">
        <f>ROUND(S165-T165,2)</f>
        <v/>
      </c>
    </row>
    <row r="166">
      <c r="A166" t="n">
        <v>155</v>
      </c>
      <c r="B166" s="22">
        <f>EDATE(Debts!$B$5,154)</f>
        <v/>
      </c>
      <c r="C166" s="23">
        <f>MAX(0,Debts!$B$6-(MIN(C$8,G166)+MIN(D$8,J166)+MIN(E$8,M166)+MIN(F$8,P166)+MIN(G$8,S166)))</f>
        <v/>
      </c>
      <c r="D166" s="23">
        <f>H166+K166+N166+Q166+T166</f>
        <v/>
      </c>
      <c r="E166" s="23">
        <f>I166+L166+O166+R166+U166</f>
        <v/>
      </c>
      <c r="F166" s="23" t="n"/>
      <c r="G166" s="23">
        <f>ROUND(I165*(1+C$7/12),2)</f>
        <v/>
      </c>
      <c r="H166" s="23">
        <f>MIN(C$8,G166)+MAX(0,MIN(G166-MIN(C$8,G166),$C166-(0)))</f>
        <v/>
      </c>
      <c r="I166" s="23">
        <f>ROUND(G166-H166,2)</f>
        <v/>
      </c>
      <c r="J166" s="23">
        <f>ROUND(L165*(1+D$7/12),2)</f>
        <v/>
      </c>
      <c r="K166" s="23">
        <f>MIN(D$8,J166)+MAX(0,MIN(J166-MIN(D$8,J166),$C166-((H166-MIN(C$8,G166)))))</f>
        <v/>
      </c>
      <c r="L166" s="23">
        <f>ROUND(J166-K166,2)</f>
        <v/>
      </c>
      <c r="M166" s="23">
        <f>ROUND(O165*(1+E$7/12),2)</f>
        <v/>
      </c>
      <c r="N166" s="23">
        <f>MIN(E$8,M166)+MAX(0,MIN(M166-MIN(E$8,M166),$C166-((H166-MIN(C$8,G166))+(K166-MIN(D$8,J166)))))</f>
        <v/>
      </c>
      <c r="O166" s="23">
        <f>ROUND(M166-N166,2)</f>
        <v/>
      </c>
      <c r="P166" s="23">
        <f>ROUND(R165*(1+F$7/12),2)</f>
        <v/>
      </c>
      <c r="Q166" s="23">
        <f>MIN(F$8,P166)+MAX(0,MIN(P166-MIN(F$8,P166),$C166-((H166-MIN(C$8,G166))+(K166-MIN(D$8,J166))+(N166-MIN(E$8,M166)))))</f>
        <v/>
      </c>
      <c r="R166" s="23">
        <f>ROUND(P166-Q166,2)</f>
        <v/>
      </c>
      <c r="S166" s="23">
        <f>ROUND(U165*(1+G$7/12),2)</f>
        <v/>
      </c>
      <c r="T166" s="23">
        <f>MIN(G$8,S166)+MAX(0,MIN(S166-MIN(G$8,S166),$C166-((H166-MIN(C$8,G166))+(K166-MIN(D$8,J166))+(N166-MIN(E$8,M166))+(Q166-MIN(F$8,P166)))))</f>
        <v/>
      </c>
      <c r="U166" s="23">
        <f>ROUND(S166-T166,2)</f>
        <v/>
      </c>
    </row>
    <row r="167">
      <c r="A167" t="n">
        <v>156</v>
      </c>
      <c r="B167" s="22">
        <f>EDATE(Debts!$B$5,155)</f>
        <v/>
      </c>
      <c r="C167" s="23">
        <f>MAX(0,Debts!$B$6-(MIN(C$8,G167)+MIN(D$8,J167)+MIN(E$8,M167)+MIN(F$8,P167)+MIN(G$8,S167)))</f>
        <v/>
      </c>
      <c r="D167" s="23">
        <f>H167+K167+N167+Q167+T167</f>
        <v/>
      </c>
      <c r="E167" s="23">
        <f>I167+L167+O167+R167+U167</f>
        <v/>
      </c>
      <c r="F167" s="23" t="n"/>
      <c r="G167" s="23">
        <f>ROUND(I166*(1+C$7/12),2)</f>
        <v/>
      </c>
      <c r="H167" s="23">
        <f>MIN(C$8,G167)+MAX(0,MIN(G167-MIN(C$8,G167),$C167-(0)))</f>
        <v/>
      </c>
      <c r="I167" s="23">
        <f>ROUND(G167-H167,2)</f>
        <v/>
      </c>
      <c r="J167" s="23">
        <f>ROUND(L166*(1+D$7/12),2)</f>
        <v/>
      </c>
      <c r="K167" s="23">
        <f>MIN(D$8,J167)+MAX(0,MIN(J167-MIN(D$8,J167),$C167-((H167-MIN(C$8,G167)))))</f>
        <v/>
      </c>
      <c r="L167" s="23">
        <f>ROUND(J167-K167,2)</f>
        <v/>
      </c>
      <c r="M167" s="23">
        <f>ROUND(O166*(1+E$7/12),2)</f>
        <v/>
      </c>
      <c r="N167" s="23">
        <f>MIN(E$8,M167)+MAX(0,MIN(M167-MIN(E$8,M167),$C167-((H167-MIN(C$8,G167))+(K167-MIN(D$8,J167)))))</f>
        <v/>
      </c>
      <c r="O167" s="23">
        <f>ROUND(M167-N167,2)</f>
        <v/>
      </c>
      <c r="P167" s="23">
        <f>ROUND(R166*(1+F$7/12),2)</f>
        <v/>
      </c>
      <c r="Q167" s="23">
        <f>MIN(F$8,P167)+MAX(0,MIN(P167-MIN(F$8,P167),$C167-((H167-MIN(C$8,G167))+(K167-MIN(D$8,J167))+(N167-MIN(E$8,M167)))))</f>
        <v/>
      </c>
      <c r="R167" s="23">
        <f>ROUND(P167-Q167,2)</f>
        <v/>
      </c>
      <c r="S167" s="23">
        <f>ROUND(U166*(1+G$7/12),2)</f>
        <v/>
      </c>
      <c r="T167" s="23">
        <f>MIN(G$8,S167)+MAX(0,MIN(S167-MIN(G$8,S167),$C167-((H167-MIN(C$8,G167))+(K167-MIN(D$8,J167))+(N167-MIN(E$8,M167))+(Q167-MIN(F$8,P167)))))</f>
        <v/>
      </c>
      <c r="U167" s="23">
        <f>ROUND(S167-T167,2)</f>
        <v/>
      </c>
    </row>
    <row r="168">
      <c r="A168" t="n">
        <v>157</v>
      </c>
      <c r="B168" s="22">
        <f>EDATE(Debts!$B$5,156)</f>
        <v/>
      </c>
      <c r="C168" s="23">
        <f>MAX(0,Debts!$B$6-(MIN(C$8,G168)+MIN(D$8,J168)+MIN(E$8,M168)+MIN(F$8,P168)+MIN(G$8,S168)))</f>
        <v/>
      </c>
      <c r="D168" s="23">
        <f>H168+K168+N168+Q168+T168</f>
        <v/>
      </c>
      <c r="E168" s="23">
        <f>I168+L168+O168+R168+U168</f>
        <v/>
      </c>
      <c r="F168" s="23" t="n"/>
      <c r="G168" s="23">
        <f>ROUND(I167*(1+C$7/12),2)</f>
        <v/>
      </c>
      <c r="H168" s="23">
        <f>MIN(C$8,G168)+MAX(0,MIN(G168-MIN(C$8,G168),$C168-(0)))</f>
        <v/>
      </c>
      <c r="I168" s="23">
        <f>ROUND(G168-H168,2)</f>
        <v/>
      </c>
      <c r="J168" s="23">
        <f>ROUND(L167*(1+D$7/12),2)</f>
        <v/>
      </c>
      <c r="K168" s="23">
        <f>MIN(D$8,J168)+MAX(0,MIN(J168-MIN(D$8,J168),$C168-((H168-MIN(C$8,G168)))))</f>
        <v/>
      </c>
      <c r="L168" s="23">
        <f>ROUND(J168-K168,2)</f>
        <v/>
      </c>
      <c r="M168" s="23">
        <f>ROUND(O167*(1+E$7/12),2)</f>
        <v/>
      </c>
      <c r="N168" s="23">
        <f>MIN(E$8,M168)+MAX(0,MIN(M168-MIN(E$8,M168),$C168-((H168-MIN(C$8,G168))+(K168-MIN(D$8,J168)))))</f>
        <v/>
      </c>
      <c r="O168" s="23">
        <f>ROUND(M168-N168,2)</f>
        <v/>
      </c>
      <c r="P168" s="23">
        <f>ROUND(R167*(1+F$7/12),2)</f>
        <v/>
      </c>
      <c r="Q168" s="23">
        <f>MIN(F$8,P168)+MAX(0,MIN(P168-MIN(F$8,P168),$C168-((H168-MIN(C$8,G168))+(K168-MIN(D$8,J168))+(N168-MIN(E$8,M168)))))</f>
        <v/>
      </c>
      <c r="R168" s="23">
        <f>ROUND(P168-Q168,2)</f>
        <v/>
      </c>
      <c r="S168" s="23">
        <f>ROUND(U167*(1+G$7/12),2)</f>
        <v/>
      </c>
      <c r="T168" s="23">
        <f>MIN(G$8,S168)+MAX(0,MIN(S168-MIN(G$8,S168),$C168-((H168-MIN(C$8,G168))+(K168-MIN(D$8,J168))+(N168-MIN(E$8,M168))+(Q168-MIN(F$8,P168)))))</f>
        <v/>
      </c>
      <c r="U168" s="23">
        <f>ROUND(S168-T168,2)</f>
        <v/>
      </c>
    </row>
    <row r="169">
      <c r="A169" t="n">
        <v>158</v>
      </c>
      <c r="B169" s="22">
        <f>EDATE(Debts!$B$5,157)</f>
        <v/>
      </c>
      <c r="C169" s="23">
        <f>MAX(0,Debts!$B$6-(MIN(C$8,G169)+MIN(D$8,J169)+MIN(E$8,M169)+MIN(F$8,P169)+MIN(G$8,S169)))</f>
        <v/>
      </c>
      <c r="D169" s="23">
        <f>H169+K169+N169+Q169+T169</f>
        <v/>
      </c>
      <c r="E169" s="23">
        <f>I169+L169+O169+R169+U169</f>
        <v/>
      </c>
      <c r="F169" s="23" t="n"/>
      <c r="G169" s="23">
        <f>ROUND(I168*(1+C$7/12),2)</f>
        <v/>
      </c>
      <c r="H169" s="23">
        <f>MIN(C$8,G169)+MAX(0,MIN(G169-MIN(C$8,G169),$C169-(0)))</f>
        <v/>
      </c>
      <c r="I169" s="23">
        <f>ROUND(G169-H169,2)</f>
        <v/>
      </c>
      <c r="J169" s="23">
        <f>ROUND(L168*(1+D$7/12),2)</f>
        <v/>
      </c>
      <c r="K169" s="23">
        <f>MIN(D$8,J169)+MAX(0,MIN(J169-MIN(D$8,J169),$C169-((H169-MIN(C$8,G169)))))</f>
        <v/>
      </c>
      <c r="L169" s="23">
        <f>ROUND(J169-K169,2)</f>
        <v/>
      </c>
      <c r="M169" s="23">
        <f>ROUND(O168*(1+E$7/12),2)</f>
        <v/>
      </c>
      <c r="N169" s="23">
        <f>MIN(E$8,M169)+MAX(0,MIN(M169-MIN(E$8,M169),$C169-((H169-MIN(C$8,G169))+(K169-MIN(D$8,J169)))))</f>
        <v/>
      </c>
      <c r="O169" s="23">
        <f>ROUND(M169-N169,2)</f>
        <v/>
      </c>
      <c r="P169" s="23">
        <f>ROUND(R168*(1+F$7/12),2)</f>
        <v/>
      </c>
      <c r="Q169" s="23">
        <f>MIN(F$8,P169)+MAX(0,MIN(P169-MIN(F$8,P169),$C169-((H169-MIN(C$8,G169))+(K169-MIN(D$8,J169))+(N169-MIN(E$8,M169)))))</f>
        <v/>
      </c>
      <c r="R169" s="23">
        <f>ROUND(P169-Q169,2)</f>
        <v/>
      </c>
      <c r="S169" s="23">
        <f>ROUND(U168*(1+G$7/12),2)</f>
        <v/>
      </c>
      <c r="T169" s="23">
        <f>MIN(G$8,S169)+MAX(0,MIN(S169-MIN(G$8,S169),$C169-((H169-MIN(C$8,G169))+(K169-MIN(D$8,J169))+(N169-MIN(E$8,M169))+(Q169-MIN(F$8,P169)))))</f>
        <v/>
      </c>
      <c r="U169" s="23">
        <f>ROUND(S169-T169,2)</f>
        <v/>
      </c>
    </row>
    <row r="170">
      <c r="A170" t="n">
        <v>159</v>
      </c>
      <c r="B170" s="22">
        <f>EDATE(Debts!$B$5,158)</f>
        <v/>
      </c>
      <c r="C170" s="23">
        <f>MAX(0,Debts!$B$6-(MIN(C$8,G170)+MIN(D$8,J170)+MIN(E$8,M170)+MIN(F$8,P170)+MIN(G$8,S170)))</f>
        <v/>
      </c>
      <c r="D170" s="23">
        <f>H170+K170+N170+Q170+T170</f>
        <v/>
      </c>
      <c r="E170" s="23">
        <f>I170+L170+O170+R170+U170</f>
        <v/>
      </c>
      <c r="F170" s="23" t="n"/>
      <c r="G170" s="23">
        <f>ROUND(I169*(1+C$7/12),2)</f>
        <v/>
      </c>
      <c r="H170" s="23">
        <f>MIN(C$8,G170)+MAX(0,MIN(G170-MIN(C$8,G170),$C170-(0)))</f>
        <v/>
      </c>
      <c r="I170" s="23">
        <f>ROUND(G170-H170,2)</f>
        <v/>
      </c>
      <c r="J170" s="23">
        <f>ROUND(L169*(1+D$7/12),2)</f>
        <v/>
      </c>
      <c r="K170" s="23">
        <f>MIN(D$8,J170)+MAX(0,MIN(J170-MIN(D$8,J170),$C170-((H170-MIN(C$8,G170)))))</f>
        <v/>
      </c>
      <c r="L170" s="23">
        <f>ROUND(J170-K170,2)</f>
        <v/>
      </c>
      <c r="M170" s="23">
        <f>ROUND(O169*(1+E$7/12),2)</f>
        <v/>
      </c>
      <c r="N170" s="23">
        <f>MIN(E$8,M170)+MAX(0,MIN(M170-MIN(E$8,M170),$C170-((H170-MIN(C$8,G170))+(K170-MIN(D$8,J170)))))</f>
        <v/>
      </c>
      <c r="O170" s="23">
        <f>ROUND(M170-N170,2)</f>
        <v/>
      </c>
      <c r="P170" s="23">
        <f>ROUND(R169*(1+F$7/12),2)</f>
        <v/>
      </c>
      <c r="Q170" s="23">
        <f>MIN(F$8,P170)+MAX(0,MIN(P170-MIN(F$8,P170),$C170-((H170-MIN(C$8,G170))+(K170-MIN(D$8,J170))+(N170-MIN(E$8,M170)))))</f>
        <v/>
      </c>
      <c r="R170" s="23">
        <f>ROUND(P170-Q170,2)</f>
        <v/>
      </c>
      <c r="S170" s="23">
        <f>ROUND(U169*(1+G$7/12),2)</f>
        <v/>
      </c>
      <c r="T170" s="23">
        <f>MIN(G$8,S170)+MAX(0,MIN(S170-MIN(G$8,S170),$C170-((H170-MIN(C$8,G170))+(K170-MIN(D$8,J170))+(N170-MIN(E$8,M170))+(Q170-MIN(F$8,P170)))))</f>
        <v/>
      </c>
      <c r="U170" s="23">
        <f>ROUND(S170-T170,2)</f>
        <v/>
      </c>
    </row>
    <row r="171">
      <c r="A171" t="n">
        <v>160</v>
      </c>
      <c r="B171" s="22">
        <f>EDATE(Debts!$B$5,159)</f>
        <v/>
      </c>
      <c r="C171" s="23">
        <f>MAX(0,Debts!$B$6-(MIN(C$8,G171)+MIN(D$8,J171)+MIN(E$8,M171)+MIN(F$8,P171)+MIN(G$8,S171)))</f>
        <v/>
      </c>
      <c r="D171" s="23">
        <f>H171+K171+N171+Q171+T171</f>
        <v/>
      </c>
      <c r="E171" s="23">
        <f>I171+L171+O171+R171+U171</f>
        <v/>
      </c>
      <c r="F171" s="23" t="n"/>
      <c r="G171" s="23">
        <f>ROUND(I170*(1+C$7/12),2)</f>
        <v/>
      </c>
      <c r="H171" s="23">
        <f>MIN(C$8,G171)+MAX(0,MIN(G171-MIN(C$8,G171),$C171-(0)))</f>
        <v/>
      </c>
      <c r="I171" s="23">
        <f>ROUND(G171-H171,2)</f>
        <v/>
      </c>
      <c r="J171" s="23">
        <f>ROUND(L170*(1+D$7/12),2)</f>
        <v/>
      </c>
      <c r="K171" s="23">
        <f>MIN(D$8,J171)+MAX(0,MIN(J171-MIN(D$8,J171),$C171-((H171-MIN(C$8,G171)))))</f>
        <v/>
      </c>
      <c r="L171" s="23">
        <f>ROUND(J171-K171,2)</f>
        <v/>
      </c>
      <c r="M171" s="23">
        <f>ROUND(O170*(1+E$7/12),2)</f>
        <v/>
      </c>
      <c r="N171" s="23">
        <f>MIN(E$8,M171)+MAX(0,MIN(M171-MIN(E$8,M171),$C171-((H171-MIN(C$8,G171))+(K171-MIN(D$8,J171)))))</f>
        <v/>
      </c>
      <c r="O171" s="23">
        <f>ROUND(M171-N171,2)</f>
        <v/>
      </c>
      <c r="P171" s="23">
        <f>ROUND(R170*(1+F$7/12),2)</f>
        <v/>
      </c>
      <c r="Q171" s="23">
        <f>MIN(F$8,P171)+MAX(0,MIN(P171-MIN(F$8,P171),$C171-((H171-MIN(C$8,G171))+(K171-MIN(D$8,J171))+(N171-MIN(E$8,M171)))))</f>
        <v/>
      </c>
      <c r="R171" s="23">
        <f>ROUND(P171-Q171,2)</f>
        <v/>
      </c>
      <c r="S171" s="23">
        <f>ROUND(U170*(1+G$7/12),2)</f>
        <v/>
      </c>
      <c r="T171" s="23">
        <f>MIN(G$8,S171)+MAX(0,MIN(S171-MIN(G$8,S171),$C171-((H171-MIN(C$8,G171))+(K171-MIN(D$8,J171))+(N171-MIN(E$8,M171))+(Q171-MIN(F$8,P171)))))</f>
        <v/>
      </c>
      <c r="U171" s="23">
        <f>ROUND(S171-T171,2)</f>
        <v/>
      </c>
    </row>
    <row r="172">
      <c r="A172" t="n">
        <v>161</v>
      </c>
      <c r="B172" s="22">
        <f>EDATE(Debts!$B$5,160)</f>
        <v/>
      </c>
      <c r="C172" s="23">
        <f>MAX(0,Debts!$B$6-(MIN(C$8,G172)+MIN(D$8,J172)+MIN(E$8,M172)+MIN(F$8,P172)+MIN(G$8,S172)))</f>
        <v/>
      </c>
      <c r="D172" s="23">
        <f>H172+K172+N172+Q172+T172</f>
        <v/>
      </c>
      <c r="E172" s="23">
        <f>I172+L172+O172+R172+U172</f>
        <v/>
      </c>
      <c r="F172" s="23" t="n"/>
      <c r="G172" s="23">
        <f>ROUND(I171*(1+C$7/12),2)</f>
        <v/>
      </c>
      <c r="H172" s="23">
        <f>MIN(C$8,G172)+MAX(0,MIN(G172-MIN(C$8,G172),$C172-(0)))</f>
        <v/>
      </c>
      <c r="I172" s="23">
        <f>ROUND(G172-H172,2)</f>
        <v/>
      </c>
      <c r="J172" s="23">
        <f>ROUND(L171*(1+D$7/12),2)</f>
        <v/>
      </c>
      <c r="K172" s="23">
        <f>MIN(D$8,J172)+MAX(0,MIN(J172-MIN(D$8,J172),$C172-((H172-MIN(C$8,G172)))))</f>
        <v/>
      </c>
      <c r="L172" s="23">
        <f>ROUND(J172-K172,2)</f>
        <v/>
      </c>
      <c r="M172" s="23">
        <f>ROUND(O171*(1+E$7/12),2)</f>
        <v/>
      </c>
      <c r="N172" s="23">
        <f>MIN(E$8,M172)+MAX(0,MIN(M172-MIN(E$8,M172),$C172-((H172-MIN(C$8,G172))+(K172-MIN(D$8,J172)))))</f>
        <v/>
      </c>
      <c r="O172" s="23">
        <f>ROUND(M172-N172,2)</f>
        <v/>
      </c>
      <c r="P172" s="23">
        <f>ROUND(R171*(1+F$7/12),2)</f>
        <v/>
      </c>
      <c r="Q172" s="23">
        <f>MIN(F$8,P172)+MAX(0,MIN(P172-MIN(F$8,P172),$C172-((H172-MIN(C$8,G172))+(K172-MIN(D$8,J172))+(N172-MIN(E$8,M172)))))</f>
        <v/>
      </c>
      <c r="R172" s="23">
        <f>ROUND(P172-Q172,2)</f>
        <v/>
      </c>
      <c r="S172" s="23">
        <f>ROUND(U171*(1+G$7/12),2)</f>
        <v/>
      </c>
      <c r="T172" s="23">
        <f>MIN(G$8,S172)+MAX(0,MIN(S172-MIN(G$8,S172),$C172-((H172-MIN(C$8,G172))+(K172-MIN(D$8,J172))+(N172-MIN(E$8,M172))+(Q172-MIN(F$8,P172)))))</f>
        <v/>
      </c>
      <c r="U172" s="23">
        <f>ROUND(S172-T172,2)</f>
        <v/>
      </c>
    </row>
    <row r="173">
      <c r="A173" t="n">
        <v>162</v>
      </c>
      <c r="B173" s="22">
        <f>EDATE(Debts!$B$5,161)</f>
        <v/>
      </c>
      <c r="C173" s="23">
        <f>MAX(0,Debts!$B$6-(MIN(C$8,G173)+MIN(D$8,J173)+MIN(E$8,M173)+MIN(F$8,P173)+MIN(G$8,S173)))</f>
        <v/>
      </c>
      <c r="D173" s="23">
        <f>H173+K173+N173+Q173+T173</f>
        <v/>
      </c>
      <c r="E173" s="23">
        <f>I173+L173+O173+R173+U173</f>
        <v/>
      </c>
      <c r="F173" s="23" t="n"/>
      <c r="G173" s="23">
        <f>ROUND(I172*(1+C$7/12),2)</f>
        <v/>
      </c>
      <c r="H173" s="23">
        <f>MIN(C$8,G173)+MAX(0,MIN(G173-MIN(C$8,G173),$C173-(0)))</f>
        <v/>
      </c>
      <c r="I173" s="23">
        <f>ROUND(G173-H173,2)</f>
        <v/>
      </c>
      <c r="J173" s="23">
        <f>ROUND(L172*(1+D$7/12),2)</f>
        <v/>
      </c>
      <c r="K173" s="23">
        <f>MIN(D$8,J173)+MAX(0,MIN(J173-MIN(D$8,J173),$C173-((H173-MIN(C$8,G173)))))</f>
        <v/>
      </c>
      <c r="L173" s="23">
        <f>ROUND(J173-K173,2)</f>
        <v/>
      </c>
      <c r="M173" s="23">
        <f>ROUND(O172*(1+E$7/12),2)</f>
        <v/>
      </c>
      <c r="N173" s="23">
        <f>MIN(E$8,M173)+MAX(0,MIN(M173-MIN(E$8,M173),$C173-((H173-MIN(C$8,G173))+(K173-MIN(D$8,J173)))))</f>
        <v/>
      </c>
      <c r="O173" s="23">
        <f>ROUND(M173-N173,2)</f>
        <v/>
      </c>
      <c r="P173" s="23">
        <f>ROUND(R172*(1+F$7/12),2)</f>
        <v/>
      </c>
      <c r="Q173" s="23">
        <f>MIN(F$8,P173)+MAX(0,MIN(P173-MIN(F$8,P173),$C173-((H173-MIN(C$8,G173))+(K173-MIN(D$8,J173))+(N173-MIN(E$8,M173)))))</f>
        <v/>
      </c>
      <c r="R173" s="23">
        <f>ROUND(P173-Q173,2)</f>
        <v/>
      </c>
      <c r="S173" s="23">
        <f>ROUND(U172*(1+G$7/12),2)</f>
        <v/>
      </c>
      <c r="T173" s="23">
        <f>MIN(G$8,S173)+MAX(0,MIN(S173-MIN(G$8,S173),$C173-((H173-MIN(C$8,G173))+(K173-MIN(D$8,J173))+(N173-MIN(E$8,M173))+(Q173-MIN(F$8,P173)))))</f>
        <v/>
      </c>
      <c r="U173" s="23">
        <f>ROUND(S173-T173,2)</f>
        <v/>
      </c>
    </row>
    <row r="174">
      <c r="A174" t="n">
        <v>163</v>
      </c>
      <c r="B174" s="22">
        <f>EDATE(Debts!$B$5,162)</f>
        <v/>
      </c>
      <c r="C174" s="23">
        <f>MAX(0,Debts!$B$6-(MIN(C$8,G174)+MIN(D$8,J174)+MIN(E$8,M174)+MIN(F$8,P174)+MIN(G$8,S174)))</f>
        <v/>
      </c>
      <c r="D174" s="23">
        <f>H174+K174+N174+Q174+T174</f>
        <v/>
      </c>
      <c r="E174" s="23">
        <f>I174+L174+O174+R174+U174</f>
        <v/>
      </c>
      <c r="F174" s="23" t="n"/>
      <c r="G174" s="23">
        <f>ROUND(I173*(1+C$7/12),2)</f>
        <v/>
      </c>
      <c r="H174" s="23">
        <f>MIN(C$8,G174)+MAX(0,MIN(G174-MIN(C$8,G174),$C174-(0)))</f>
        <v/>
      </c>
      <c r="I174" s="23">
        <f>ROUND(G174-H174,2)</f>
        <v/>
      </c>
      <c r="J174" s="23">
        <f>ROUND(L173*(1+D$7/12),2)</f>
        <v/>
      </c>
      <c r="K174" s="23">
        <f>MIN(D$8,J174)+MAX(0,MIN(J174-MIN(D$8,J174),$C174-((H174-MIN(C$8,G174)))))</f>
        <v/>
      </c>
      <c r="L174" s="23">
        <f>ROUND(J174-K174,2)</f>
        <v/>
      </c>
      <c r="M174" s="23">
        <f>ROUND(O173*(1+E$7/12),2)</f>
        <v/>
      </c>
      <c r="N174" s="23">
        <f>MIN(E$8,M174)+MAX(0,MIN(M174-MIN(E$8,M174),$C174-((H174-MIN(C$8,G174))+(K174-MIN(D$8,J174)))))</f>
        <v/>
      </c>
      <c r="O174" s="23">
        <f>ROUND(M174-N174,2)</f>
        <v/>
      </c>
      <c r="P174" s="23">
        <f>ROUND(R173*(1+F$7/12),2)</f>
        <v/>
      </c>
      <c r="Q174" s="23">
        <f>MIN(F$8,P174)+MAX(0,MIN(P174-MIN(F$8,P174),$C174-((H174-MIN(C$8,G174))+(K174-MIN(D$8,J174))+(N174-MIN(E$8,M174)))))</f>
        <v/>
      </c>
      <c r="R174" s="23">
        <f>ROUND(P174-Q174,2)</f>
        <v/>
      </c>
      <c r="S174" s="23">
        <f>ROUND(U173*(1+G$7/12),2)</f>
        <v/>
      </c>
      <c r="T174" s="23">
        <f>MIN(G$8,S174)+MAX(0,MIN(S174-MIN(G$8,S174),$C174-((H174-MIN(C$8,G174))+(K174-MIN(D$8,J174))+(N174-MIN(E$8,M174))+(Q174-MIN(F$8,P174)))))</f>
        <v/>
      </c>
      <c r="U174" s="23">
        <f>ROUND(S174-T174,2)</f>
        <v/>
      </c>
    </row>
    <row r="175">
      <c r="A175" t="n">
        <v>164</v>
      </c>
      <c r="B175" s="22">
        <f>EDATE(Debts!$B$5,163)</f>
        <v/>
      </c>
      <c r="C175" s="23">
        <f>MAX(0,Debts!$B$6-(MIN(C$8,G175)+MIN(D$8,J175)+MIN(E$8,M175)+MIN(F$8,P175)+MIN(G$8,S175)))</f>
        <v/>
      </c>
      <c r="D175" s="23">
        <f>H175+K175+N175+Q175+T175</f>
        <v/>
      </c>
      <c r="E175" s="23">
        <f>I175+L175+O175+R175+U175</f>
        <v/>
      </c>
      <c r="F175" s="23" t="n"/>
      <c r="G175" s="23">
        <f>ROUND(I174*(1+C$7/12),2)</f>
        <v/>
      </c>
      <c r="H175" s="23">
        <f>MIN(C$8,G175)+MAX(0,MIN(G175-MIN(C$8,G175),$C175-(0)))</f>
        <v/>
      </c>
      <c r="I175" s="23">
        <f>ROUND(G175-H175,2)</f>
        <v/>
      </c>
      <c r="J175" s="23">
        <f>ROUND(L174*(1+D$7/12),2)</f>
        <v/>
      </c>
      <c r="K175" s="23">
        <f>MIN(D$8,J175)+MAX(0,MIN(J175-MIN(D$8,J175),$C175-((H175-MIN(C$8,G175)))))</f>
        <v/>
      </c>
      <c r="L175" s="23">
        <f>ROUND(J175-K175,2)</f>
        <v/>
      </c>
      <c r="M175" s="23">
        <f>ROUND(O174*(1+E$7/12),2)</f>
        <v/>
      </c>
      <c r="N175" s="23">
        <f>MIN(E$8,M175)+MAX(0,MIN(M175-MIN(E$8,M175),$C175-((H175-MIN(C$8,G175))+(K175-MIN(D$8,J175)))))</f>
        <v/>
      </c>
      <c r="O175" s="23">
        <f>ROUND(M175-N175,2)</f>
        <v/>
      </c>
      <c r="P175" s="23">
        <f>ROUND(R174*(1+F$7/12),2)</f>
        <v/>
      </c>
      <c r="Q175" s="23">
        <f>MIN(F$8,P175)+MAX(0,MIN(P175-MIN(F$8,P175),$C175-((H175-MIN(C$8,G175))+(K175-MIN(D$8,J175))+(N175-MIN(E$8,M175)))))</f>
        <v/>
      </c>
      <c r="R175" s="23">
        <f>ROUND(P175-Q175,2)</f>
        <v/>
      </c>
      <c r="S175" s="23">
        <f>ROUND(U174*(1+G$7/12),2)</f>
        <v/>
      </c>
      <c r="T175" s="23">
        <f>MIN(G$8,S175)+MAX(0,MIN(S175-MIN(G$8,S175),$C175-((H175-MIN(C$8,G175))+(K175-MIN(D$8,J175))+(N175-MIN(E$8,M175))+(Q175-MIN(F$8,P175)))))</f>
        <v/>
      </c>
      <c r="U175" s="23">
        <f>ROUND(S175-T175,2)</f>
        <v/>
      </c>
    </row>
    <row r="176">
      <c r="A176" t="n">
        <v>165</v>
      </c>
      <c r="B176" s="22">
        <f>EDATE(Debts!$B$5,164)</f>
        <v/>
      </c>
      <c r="C176" s="23">
        <f>MAX(0,Debts!$B$6-(MIN(C$8,G176)+MIN(D$8,J176)+MIN(E$8,M176)+MIN(F$8,P176)+MIN(G$8,S176)))</f>
        <v/>
      </c>
      <c r="D176" s="23">
        <f>H176+K176+N176+Q176+T176</f>
        <v/>
      </c>
      <c r="E176" s="23">
        <f>I176+L176+O176+R176+U176</f>
        <v/>
      </c>
      <c r="F176" s="23" t="n"/>
      <c r="G176" s="23">
        <f>ROUND(I175*(1+C$7/12),2)</f>
        <v/>
      </c>
      <c r="H176" s="23">
        <f>MIN(C$8,G176)+MAX(0,MIN(G176-MIN(C$8,G176),$C176-(0)))</f>
        <v/>
      </c>
      <c r="I176" s="23">
        <f>ROUND(G176-H176,2)</f>
        <v/>
      </c>
      <c r="J176" s="23">
        <f>ROUND(L175*(1+D$7/12),2)</f>
        <v/>
      </c>
      <c r="K176" s="23">
        <f>MIN(D$8,J176)+MAX(0,MIN(J176-MIN(D$8,J176),$C176-((H176-MIN(C$8,G176)))))</f>
        <v/>
      </c>
      <c r="L176" s="23">
        <f>ROUND(J176-K176,2)</f>
        <v/>
      </c>
      <c r="M176" s="23">
        <f>ROUND(O175*(1+E$7/12),2)</f>
        <v/>
      </c>
      <c r="N176" s="23">
        <f>MIN(E$8,M176)+MAX(0,MIN(M176-MIN(E$8,M176),$C176-((H176-MIN(C$8,G176))+(K176-MIN(D$8,J176)))))</f>
        <v/>
      </c>
      <c r="O176" s="23">
        <f>ROUND(M176-N176,2)</f>
        <v/>
      </c>
      <c r="P176" s="23">
        <f>ROUND(R175*(1+F$7/12),2)</f>
        <v/>
      </c>
      <c r="Q176" s="23">
        <f>MIN(F$8,P176)+MAX(0,MIN(P176-MIN(F$8,P176),$C176-((H176-MIN(C$8,G176))+(K176-MIN(D$8,J176))+(N176-MIN(E$8,M176)))))</f>
        <v/>
      </c>
      <c r="R176" s="23">
        <f>ROUND(P176-Q176,2)</f>
        <v/>
      </c>
      <c r="S176" s="23">
        <f>ROUND(U175*(1+G$7/12),2)</f>
        <v/>
      </c>
      <c r="T176" s="23">
        <f>MIN(G$8,S176)+MAX(0,MIN(S176-MIN(G$8,S176),$C176-((H176-MIN(C$8,G176))+(K176-MIN(D$8,J176))+(N176-MIN(E$8,M176))+(Q176-MIN(F$8,P176)))))</f>
        <v/>
      </c>
      <c r="U176" s="23">
        <f>ROUND(S176-T176,2)</f>
        <v/>
      </c>
    </row>
    <row r="177">
      <c r="A177" t="n">
        <v>166</v>
      </c>
      <c r="B177" s="22">
        <f>EDATE(Debts!$B$5,165)</f>
        <v/>
      </c>
      <c r="C177" s="23">
        <f>MAX(0,Debts!$B$6-(MIN(C$8,G177)+MIN(D$8,J177)+MIN(E$8,M177)+MIN(F$8,P177)+MIN(G$8,S177)))</f>
        <v/>
      </c>
      <c r="D177" s="23">
        <f>H177+K177+N177+Q177+T177</f>
        <v/>
      </c>
      <c r="E177" s="23">
        <f>I177+L177+O177+R177+U177</f>
        <v/>
      </c>
      <c r="F177" s="23" t="n"/>
      <c r="G177" s="23">
        <f>ROUND(I176*(1+C$7/12),2)</f>
        <v/>
      </c>
      <c r="H177" s="23">
        <f>MIN(C$8,G177)+MAX(0,MIN(G177-MIN(C$8,G177),$C177-(0)))</f>
        <v/>
      </c>
      <c r="I177" s="23">
        <f>ROUND(G177-H177,2)</f>
        <v/>
      </c>
      <c r="J177" s="23">
        <f>ROUND(L176*(1+D$7/12),2)</f>
        <v/>
      </c>
      <c r="K177" s="23">
        <f>MIN(D$8,J177)+MAX(0,MIN(J177-MIN(D$8,J177),$C177-((H177-MIN(C$8,G177)))))</f>
        <v/>
      </c>
      <c r="L177" s="23">
        <f>ROUND(J177-K177,2)</f>
        <v/>
      </c>
      <c r="M177" s="23">
        <f>ROUND(O176*(1+E$7/12),2)</f>
        <v/>
      </c>
      <c r="N177" s="23">
        <f>MIN(E$8,M177)+MAX(0,MIN(M177-MIN(E$8,M177),$C177-((H177-MIN(C$8,G177))+(K177-MIN(D$8,J177)))))</f>
        <v/>
      </c>
      <c r="O177" s="23">
        <f>ROUND(M177-N177,2)</f>
        <v/>
      </c>
      <c r="P177" s="23">
        <f>ROUND(R176*(1+F$7/12),2)</f>
        <v/>
      </c>
      <c r="Q177" s="23">
        <f>MIN(F$8,P177)+MAX(0,MIN(P177-MIN(F$8,P177),$C177-((H177-MIN(C$8,G177))+(K177-MIN(D$8,J177))+(N177-MIN(E$8,M177)))))</f>
        <v/>
      </c>
      <c r="R177" s="23">
        <f>ROUND(P177-Q177,2)</f>
        <v/>
      </c>
      <c r="S177" s="23">
        <f>ROUND(U176*(1+G$7/12),2)</f>
        <v/>
      </c>
      <c r="T177" s="23">
        <f>MIN(G$8,S177)+MAX(0,MIN(S177-MIN(G$8,S177),$C177-((H177-MIN(C$8,G177))+(K177-MIN(D$8,J177))+(N177-MIN(E$8,M177))+(Q177-MIN(F$8,P177)))))</f>
        <v/>
      </c>
      <c r="U177" s="23">
        <f>ROUND(S177-T177,2)</f>
        <v/>
      </c>
    </row>
    <row r="178">
      <c r="A178" t="n">
        <v>167</v>
      </c>
      <c r="B178" s="22">
        <f>EDATE(Debts!$B$5,166)</f>
        <v/>
      </c>
      <c r="C178" s="23">
        <f>MAX(0,Debts!$B$6-(MIN(C$8,G178)+MIN(D$8,J178)+MIN(E$8,M178)+MIN(F$8,P178)+MIN(G$8,S178)))</f>
        <v/>
      </c>
      <c r="D178" s="23">
        <f>H178+K178+N178+Q178+T178</f>
        <v/>
      </c>
      <c r="E178" s="23">
        <f>I178+L178+O178+R178+U178</f>
        <v/>
      </c>
      <c r="F178" s="23" t="n"/>
      <c r="G178" s="23">
        <f>ROUND(I177*(1+C$7/12),2)</f>
        <v/>
      </c>
      <c r="H178" s="23">
        <f>MIN(C$8,G178)+MAX(0,MIN(G178-MIN(C$8,G178),$C178-(0)))</f>
        <v/>
      </c>
      <c r="I178" s="23">
        <f>ROUND(G178-H178,2)</f>
        <v/>
      </c>
      <c r="J178" s="23">
        <f>ROUND(L177*(1+D$7/12),2)</f>
        <v/>
      </c>
      <c r="K178" s="23">
        <f>MIN(D$8,J178)+MAX(0,MIN(J178-MIN(D$8,J178),$C178-((H178-MIN(C$8,G178)))))</f>
        <v/>
      </c>
      <c r="L178" s="23">
        <f>ROUND(J178-K178,2)</f>
        <v/>
      </c>
      <c r="M178" s="23">
        <f>ROUND(O177*(1+E$7/12),2)</f>
        <v/>
      </c>
      <c r="N178" s="23">
        <f>MIN(E$8,M178)+MAX(0,MIN(M178-MIN(E$8,M178),$C178-((H178-MIN(C$8,G178))+(K178-MIN(D$8,J178)))))</f>
        <v/>
      </c>
      <c r="O178" s="23">
        <f>ROUND(M178-N178,2)</f>
        <v/>
      </c>
      <c r="P178" s="23">
        <f>ROUND(R177*(1+F$7/12),2)</f>
        <v/>
      </c>
      <c r="Q178" s="23">
        <f>MIN(F$8,P178)+MAX(0,MIN(P178-MIN(F$8,P178),$C178-((H178-MIN(C$8,G178))+(K178-MIN(D$8,J178))+(N178-MIN(E$8,M178)))))</f>
        <v/>
      </c>
      <c r="R178" s="23">
        <f>ROUND(P178-Q178,2)</f>
        <v/>
      </c>
      <c r="S178" s="23">
        <f>ROUND(U177*(1+G$7/12),2)</f>
        <v/>
      </c>
      <c r="T178" s="23">
        <f>MIN(G$8,S178)+MAX(0,MIN(S178-MIN(G$8,S178),$C178-((H178-MIN(C$8,G178))+(K178-MIN(D$8,J178))+(N178-MIN(E$8,M178))+(Q178-MIN(F$8,P178)))))</f>
        <v/>
      </c>
      <c r="U178" s="23">
        <f>ROUND(S178-T178,2)</f>
        <v/>
      </c>
    </row>
    <row r="179">
      <c r="A179" t="n">
        <v>168</v>
      </c>
      <c r="B179" s="22">
        <f>EDATE(Debts!$B$5,167)</f>
        <v/>
      </c>
      <c r="C179" s="23">
        <f>MAX(0,Debts!$B$6-(MIN(C$8,G179)+MIN(D$8,J179)+MIN(E$8,M179)+MIN(F$8,P179)+MIN(G$8,S179)))</f>
        <v/>
      </c>
      <c r="D179" s="23">
        <f>H179+K179+N179+Q179+T179</f>
        <v/>
      </c>
      <c r="E179" s="23">
        <f>I179+L179+O179+R179+U179</f>
        <v/>
      </c>
      <c r="F179" s="23" t="n"/>
      <c r="G179" s="23">
        <f>ROUND(I178*(1+C$7/12),2)</f>
        <v/>
      </c>
      <c r="H179" s="23">
        <f>MIN(C$8,G179)+MAX(0,MIN(G179-MIN(C$8,G179),$C179-(0)))</f>
        <v/>
      </c>
      <c r="I179" s="23">
        <f>ROUND(G179-H179,2)</f>
        <v/>
      </c>
      <c r="J179" s="23">
        <f>ROUND(L178*(1+D$7/12),2)</f>
        <v/>
      </c>
      <c r="K179" s="23">
        <f>MIN(D$8,J179)+MAX(0,MIN(J179-MIN(D$8,J179),$C179-((H179-MIN(C$8,G179)))))</f>
        <v/>
      </c>
      <c r="L179" s="23">
        <f>ROUND(J179-K179,2)</f>
        <v/>
      </c>
      <c r="M179" s="23">
        <f>ROUND(O178*(1+E$7/12),2)</f>
        <v/>
      </c>
      <c r="N179" s="23">
        <f>MIN(E$8,M179)+MAX(0,MIN(M179-MIN(E$8,M179),$C179-((H179-MIN(C$8,G179))+(K179-MIN(D$8,J179)))))</f>
        <v/>
      </c>
      <c r="O179" s="23">
        <f>ROUND(M179-N179,2)</f>
        <v/>
      </c>
      <c r="P179" s="23">
        <f>ROUND(R178*(1+F$7/12),2)</f>
        <v/>
      </c>
      <c r="Q179" s="23">
        <f>MIN(F$8,P179)+MAX(0,MIN(P179-MIN(F$8,P179),$C179-((H179-MIN(C$8,G179))+(K179-MIN(D$8,J179))+(N179-MIN(E$8,M179)))))</f>
        <v/>
      </c>
      <c r="R179" s="23">
        <f>ROUND(P179-Q179,2)</f>
        <v/>
      </c>
      <c r="S179" s="23">
        <f>ROUND(U178*(1+G$7/12),2)</f>
        <v/>
      </c>
      <c r="T179" s="23">
        <f>MIN(G$8,S179)+MAX(0,MIN(S179-MIN(G$8,S179),$C179-((H179-MIN(C$8,G179))+(K179-MIN(D$8,J179))+(N179-MIN(E$8,M179))+(Q179-MIN(F$8,P179)))))</f>
        <v/>
      </c>
      <c r="U179" s="23">
        <f>ROUND(S179-T179,2)</f>
        <v/>
      </c>
    </row>
    <row r="180">
      <c r="A180" t="n">
        <v>169</v>
      </c>
      <c r="B180" s="22">
        <f>EDATE(Debts!$B$5,168)</f>
        <v/>
      </c>
      <c r="C180" s="23">
        <f>MAX(0,Debts!$B$6-(MIN(C$8,G180)+MIN(D$8,J180)+MIN(E$8,M180)+MIN(F$8,P180)+MIN(G$8,S180)))</f>
        <v/>
      </c>
      <c r="D180" s="23">
        <f>H180+K180+N180+Q180+T180</f>
        <v/>
      </c>
      <c r="E180" s="23">
        <f>I180+L180+O180+R180+U180</f>
        <v/>
      </c>
      <c r="F180" s="23" t="n"/>
      <c r="G180" s="23">
        <f>ROUND(I179*(1+C$7/12),2)</f>
        <v/>
      </c>
      <c r="H180" s="23">
        <f>MIN(C$8,G180)+MAX(0,MIN(G180-MIN(C$8,G180),$C180-(0)))</f>
        <v/>
      </c>
      <c r="I180" s="23">
        <f>ROUND(G180-H180,2)</f>
        <v/>
      </c>
      <c r="J180" s="23">
        <f>ROUND(L179*(1+D$7/12),2)</f>
        <v/>
      </c>
      <c r="K180" s="23">
        <f>MIN(D$8,J180)+MAX(0,MIN(J180-MIN(D$8,J180),$C180-((H180-MIN(C$8,G180)))))</f>
        <v/>
      </c>
      <c r="L180" s="23">
        <f>ROUND(J180-K180,2)</f>
        <v/>
      </c>
      <c r="M180" s="23">
        <f>ROUND(O179*(1+E$7/12),2)</f>
        <v/>
      </c>
      <c r="N180" s="23">
        <f>MIN(E$8,M180)+MAX(0,MIN(M180-MIN(E$8,M180),$C180-((H180-MIN(C$8,G180))+(K180-MIN(D$8,J180)))))</f>
        <v/>
      </c>
      <c r="O180" s="23">
        <f>ROUND(M180-N180,2)</f>
        <v/>
      </c>
      <c r="P180" s="23">
        <f>ROUND(R179*(1+F$7/12),2)</f>
        <v/>
      </c>
      <c r="Q180" s="23">
        <f>MIN(F$8,P180)+MAX(0,MIN(P180-MIN(F$8,P180),$C180-((H180-MIN(C$8,G180))+(K180-MIN(D$8,J180))+(N180-MIN(E$8,M180)))))</f>
        <v/>
      </c>
      <c r="R180" s="23">
        <f>ROUND(P180-Q180,2)</f>
        <v/>
      </c>
      <c r="S180" s="23">
        <f>ROUND(U179*(1+G$7/12),2)</f>
        <v/>
      </c>
      <c r="T180" s="23">
        <f>MIN(G$8,S180)+MAX(0,MIN(S180-MIN(G$8,S180),$C180-((H180-MIN(C$8,G180))+(K180-MIN(D$8,J180))+(N180-MIN(E$8,M180))+(Q180-MIN(F$8,P180)))))</f>
        <v/>
      </c>
      <c r="U180" s="23">
        <f>ROUND(S180-T180,2)</f>
        <v/>
      </c>
    </row>
    <row r="181">
      <c r="A181" t="n">
        <v>170</v>
      </c>
      <c r="B181" s="22">
        <f>EDATE(Debts!$B$5,169)</f>
        <v/>
      </c>
      <c r="C181" s="23">
        <f>MAX(0,Debts!$B$6-(MIN(C$8,G181)+MIN(D$8,J181)+MIN(E$8,M181)+MIN(F$8,P181)+MIN(G$8,S181)))</f>
        <v/>
      </c>
      <c r="D181" s="23">
        <f>H181+K181+N181+Q181+T181</f>
        <v/>
      </c>
      <c r="E181" s="23">
        <f>I181+L181+O181+R181+U181</f>
        <v/>
      </c>
      <c r="F181" s="23" t="n"/>
      <c r="G181" s="23">
        <f>ROUND(I180*(1+C$7/12),2)</f>
        <v/>
      </c>
      <c r="H181" s="23">
        <f>MIN(C$8,G181)+MAX(0,MIN(G181-MIN(C$8,G181),$C181-(0)))</f>
        <v/>
      </c>
      <c r="I181" s="23">
        <f>ROUND(G181-H181,2)</f>
        <v/>
      </c>
      <c r="J181" s="23">
        <f>ROUND(L180*(1+D$7/12),2)</f>
        <v/>
      </c>
      <c r="K181" s="23">
        <f>MIN(D$8,J181)+MAX(0,MIN(J181-MIN(D$8,J181),$C181-((H181-MIN(C$8,G181)))))</f>
        <v/>
      </c>
      <c r="L181" s="23">
        <f>ROUND(J181-K181,2)</f>
        <v/>
      </c>
      <c r="M181" s="23">
        <f>ROUND(O180*(1+E$7/12),2)</f>
        <v/>
      </c>
      <c r="N181" s="23">
        <f>MIN(E$8,M181)+MAX(0,MIN(M181-MIN(E$8,M181),$C181-((H181-MIN(C$8,G181))+(K181-MIN(D$8,J181)))))</f>
        <v/>
      </c>
      <c r="O181" s="23">
        <f>ROUND(M181-N181,2)</f>
        <v/>
      </c>
      <c r="P181" s="23">
        <f>ROUND(R180*(1+F$7/12),2)</f>
        <v/>
      </c>
      <c r="Q181" s="23">
        <f>MIN(F$8,P181)+MAX(0,MIN(P181-MIN(F$8,P181),$C181-((H181-MIN(C$8,G181))+(K181-MIN(D$8,J181))+(N181-MIN(E$8,M181)))))</f>
        <v/>
      </c>
      <c r="R181" s="23">
        <f>ROUND(P181-Q181,2)</f>
        <v/>
      </c>
      <c r="S181" s="23">
        <f>ROUND(U180*(1+G$7/12),2)</f>
        <v/>
      </c>
      <c r="T181" s="23">
        <f>MIN(G$8,S181)+MAX(0,MIN(S181-MIN(G$8,S181),$C181-((H181-MIN(C$8,G181))+(K181-MIN(D$8,J181))+(N181-MIN(E$8,M181))+(Q181-MIN(F$8,P181)))))</f>
        <v/>
      </c>
      <c r="U181" s="23">
        <f>ROUND(S181-T181,2)</f>
        <v/>
      </c>
    </row>
    <row r="182">
      <c r="A182" t="n">
        <v>171</v>
      </c>
      <c r="B182" s="22">
        <f>EDATE(Debts!$B$5,170)</f>
        <v/>
      </c>
      <c r="C182" s="23">
        <f>MAX(0,Debts!$B$6-(MIN(C$8,G182)+MIN(D$8,J182)+MIN(E$8,M182)+MIN(F$8,P182)+MIN(G$8,S182)))</f>
        <v/>
      </c>
      <c r="D182" s="23">
        <f>H182+K182+N182+Q182+T182</f>
        <v/>
      </c>
      <c r="E182" s="23">
        <f>I182+L182+O182+R182+U182</f>
        <v/>
      </c>
      <c r="F182" s="23" t="n"/>
      <c r="G182" s="23">
        <f>ROUND(I181*(1+C$7/12),2)</f>
        <v/>
      </c>
      <c r="H182" s="23">
        <f>MIN(C$8,G182)+MAX(0,MIN(G182-MIN(C$8,G182),$C182-(0)))</f>
        <v/>
      </c>
      <c r="I182" s="23">
        <f>ROUND(G182-H182,2)</f>
        <v/>
      </c>
      <c r="J182" s="23">
        <f>ROUND(L181*(1+D$7/12),2)</f>
        <v/>
      </c>
      <c r="K182" s="23">
        <f>MIN(D$8,J182)+MAX(0,MIN(J182-MIN(D$8,J182),$C182-((H182-MIN(C$8,G182)))))</f>
        <v/>
      </c>
      <c r="L182" s="23">
        <f>ROUND(J182-K182,2)</f>
        <v/>
      </c>
      <c r="M182" s="23">
        <f>ROUND(O181*(1+E$7/12),2)</f>
        <v/>
      </c>
      <c r="N182" s="23">
        <f>MIN(E$8,M182)+MAX(0,MIN(M182-MIN(E$8,M182),$C182-((H182-MIN(C$8,G182))+(K182-MIN(D$8,J182)))))</f>
        <v/>
      </c>
      <c r="O182" s="23">
        <f>ROUND(M182-N182,2)</f>
        <v/>
      </c>
      <c r="P182" s="23">
        <f>ROUND(R181*(1+F$7/12),2)</f>
        <v/>
      </c>
      <c r="Q182" s="23">
        <f>MIN(F$8,P182)+MAX(0,MIN(P182-MIN(F$8,P182),$C182-((H182-MIN(C$8,G182))+(K182-MIN(D$8,J182))+(N182-MIN(E$8,M182)))))</f>
        <v/>
      </c>
      <c r="R182" s="23">
        <f>ROUND(P182-Q182,2)</f>
        <v/>
      </c>
      <c r="S182" s="23">
        <f>ROUND(U181*(1+G$7/12),2)</f>
        <v/>
      </c>
      <c r="T182" s="23">
        <f>MIN(G$8,S182)+MAX(0,MIN(S182-MIN(G$8,S182),$C182-((H182-MIN(C$8,G182))+(K182-MIN(D$8,J182))+(N182-MIN(E$8,M182))+(Q182-MIN(F$8,P182)))))</f>
        <v/>
      </c>
      <c r="U182" s="23">
        <f>ROUND(S182-T182,2)</f>
        <v/>
      </c>
    </row>
    <row r="183">
      <c r="A183" t="n">
        <v>172</v>
      </c>
      <c r="B183" s="22">
        <f>EDATE(Debts!$B$5,171)</f>
        <v/>
      </c>
      <c r="C183" s="23">
        <f>MAX(0,Debts!$B$6-(MIN(C$8,G183)+MIN(D$8,J183)+MIN(E$8,M183)+MIN(F$8,P183)+MIN(G$8,S183)))</f>
        <v/>
      </c>
      <c r="D183" s="23">
        <f>H183+K183+N183+Q183+T183</f>
        <v/>
      </c>
      <c r="E183" s="23">
        <f>I183+L183+O183+R183+U183</f>
        <v/>
      </c>
      <c r="F183" s="23" t="n"/>
      <c r="G183" s="23">
        <f>ROUND(I182*(1+C$7/12),2)</f>
        <v/>
      </c>
      <c r="H183" s="23">
        <f>MIN(C$8,G183)+MAX(0,MIN(G183-MIN(C$8,G183),$C183-(0)))</f>
        <v/>
      </c>
      <c r="I183" s="23">
        <f>ROUND(G183-H183,2)</f>
        <v/>
      </c>
      <c r="J183" s="23">
        <f>ROUND(L182*(1+D$7/12),2)</f>
        <v/>
      </c>
      <c r="K183" s="23">
        <f>MIN(D$8,J183)+MAX(0,MIN(J183-MIN(D$8,J183),$C183-((H183-MIN(C$8,G183)))))</f>
        <v/>
      </c>
      <c r="L183" s="23">
        <f>ROUND(J183-K183,2)</f>
        <v/>
      </c>
      <c r="M183" s="23">
        <f>ROUND(O182*(1+E$7/12),2)</f>
        <v/>
      </c>
      <c r="N183" s="23">
        <f>MIN(E$8,M183)+MAX(0,MIN(M183-MIN(E$8,M183),$C183-((H183-MIN(C$8,G183))+(K183-MIN(D$8,J183)))))</f>
        <v/>
      </c>
      <c r="O183" s="23">
        <f>ROUND(M183-N183,2)</f>
        <v/>
      </c>
      <c r="P183" s="23">
        <f>ROUND(R182*(1+F$7/12),2)</f>
        <v/>
      </c>
      <c r="Q183" s="23">
        <f>MIN(F$8,P183)+MAX(0,MIN(P183-MIN(F$8,P183),$C183-((H183-MIN(C$8,G183))+(K183-MIN(D$8,J183))+(N183-MIN(E$8,M183)))))</f>
        <v/>
      </c>
      <c r="R183" s="23">
        <f>ROUND(P183-Q183,2)</f>
        <v/>
      </c>
      <c r="S183" s="23">
        <f>ROUND(U182*(1+G$7/12),2)</f>
        <v/>
      </c>
      <c r="T183" s="23">
        <f>MIN(G$8,S183)+MAX(0,MIN(S183-MIN(G$8,S183),$C183-((H183-MIN(C$8,G183))+(K183-MIN(D$8,J183))+(N183-MIN(E$8,M183))+(Q183-MIN(F$8,P183)))))</f>
        <v/>
      </c>
      <c r="U183" s="23">
        <f>ROUND(S183-T183,2)</f>
        <v/>
      </c>
    </row>
    <row r="184">
      <c r="A184" t="n">
        <v>173</v>
      </c>
      <c r="B184" s="22">
        <f>EDATE(Debts!$B$5,172)</f>
        <v/>
      </c>
      <c r="C184" s="23">
        <f>MAX(0,Debts!$B$6-(MIN(C$8,G184)+MIN(D$8,J184)+MIN(E$8,M184)+MIN(F$8,P184)+MIN(G$8,S184)))</f>
        <v/>
      </c>
      <c r="D184" s="23">
        <f>H184+K184+N184+Q184+T184</f>
        <v/>
      </c>
      <c r="E184" s="23">
        <f>I184+L184+O184+R184+U184</f>
        <v/>
      </c>
      <c r="F184" s="23" t="n"/>
      <c r="G184" s="23">
        <f>ROUND(I183*(1+C$7/12),2)</f>
        <v/>
      </c>
      <c r="H184" s="23">
        <f>MIN(C$8,G184)+MAX(0,MIN(G184-MIN(C$8,G184),$C184-(0)))</f>
        <v/>
      </c>
      <c r="I184" s="23">
        <f>ROUND(G184-H184,2)</f>
        <v/>
      </c>
      <c r="J184" s="23">
        <f>ROUND(L183*(1+D$7/12),2)</f>
        <v/>
      </c>
      <c r="K184" s="23">
        <f>MIN(D$8,J184)+MAX(0,MIN(J184-MIN(D$8,J184),$C184-((H184-MIN(C$8,G184)))))</f>
        <v/>
      </c>
      <c r="L184" s="23">
        <f>ROUND(J184-K184,2)</f>
        <v/>
      </c>
      <c r="M184" s="23">
        <f>ROUND(O183*(1+E$7/12),2)</f>
        <v/>
      </c>
      <c r="N184" s="23">
        <f>MIN(E$8,M184)+MAX(0,MIN(M184-MIN(E$8,M184),$C184-((H184-MIN(C$8,G184))+(K184-MIN(D$8,J184)))))</f>
        <v/>
      </c>
      <c r="O184" s="23">
        <f>ROUND(M184-N184,2)</f>
        <v/>
      </c>
      <c r="P184" s="23">
        <f>ROUND(R183*(1+F$7/12),2)</f>
        <v/>
      </c>
      <c r="Q184" s="23">
        <f>MIN(F$8,P184)+MAX(0,MIN(P184-MIN(F$8,P184),$C184-((H184-MIN(C$8,G184))+(K184-MIN(D$8,J184))+(N184-MIN(E$8,M184)))))</f>
        <v/>
      </c>
      <c r="R184" s="23">
        <f>ROUND(P184-Q184,2)</f>
        <v/>
      </c>
      <c r="S184" s="23">
        <f>ROUND(U183*(1+G$7/12),2)</f>
        <v/>
      </c>
      <c r="T184" s="23">
        <f>MIN(G$8,S184)+MAX(0,MIN(S184-MIN(G$8,S184),$C184-((H184-MIN(C$8,G184))+(K184-MIN(D$8,J184))+(N184-MIN(E$8,M184))+(Q184-MIN(F$8,P184)))))</f>
        <v/>
      </c>
      <c r="U184" s="23">
        <f>ROUND(S184-T184,2)</f>
        <v/>
      </c>
    </row>
    <row r="185">
      <c r="A185" t="n">
        <v>174</v>
      </c>
      <c r="B185" s="22">
        <f>EDATE(Debts!$B$5,173)</f>
        <v/>
      </c>
      <c r="C185" s="23">
        <f>MAX(0,Debts!$B$6-(MIN(C$8,G185)+MIN(D$8,J185)+MIN(E$8,M185)+MIN(F$8,P185)+MIN(G$8,S185)))</f>
        <v/>
      </c>
      <c r="D185" s="23">
        <f>H185+K185+N185+Q185+T185</f>
        <v/>
      </c>
      <c r="E185" s="23">
        <f>I185+L185+O185+R185+U185</f>
        <v/>
      </c>
      <c r="F185" s="23" t="n"/>
      <c r="G185" s="23">
        <f>ROUND(I184*(1+C$7/12),2)</f>
        <v/>
      </c>
      <c r="H185" s="23">
        <f>MIN(C$8,G185)+MAX(0,MIN(G185-MIN(C$8,G185),$C185-(0)))</f>
        <v/>
      </c>
      <c r="I185" s="23">
        <f>ROUND(G185-H185,2)</f>
        <v/>
      </c>
      <c r="J185" s="23">
        <f>ROUND(L184*(1+D$7/12),2)</f>
        <v/>
      </c>
      <c r="K185" s="23">
        <f>MIN(D$8,J185)+MAX(0,MIN(J185-MIN(D$8,J185),$C185-((H185-MIN(C$8,G185)))))</f>
        <v/>
      </c>
      <c r="L185" s="23">
        <f>ROUND(J185-K185,2)</f>
        <v/>
      </c>
      <c r="M185" s="23">
        <f>ROUND(O184*(1+E$7/12),2)</f>
        <v/>
      </c>
      <c r="N185" s="23">
        <f>MIN(E$8,M185)+MAX(0,MIN(M185-MIN(E$8,M185),$C185-((H185-MIN(C$8,G185))+(K185-MIN(D$8,J185)))))</f>
        <v/>
      </c>
      <c r="O185" s="23">
        <f>ROUND(M185-N185,2)</f>
        <v/>
      </c>
      <c r="P185" s="23">
        <f>ROUND(R184*(1+F$7/12),2)</f>
        <v/>
      </c>
      <c r="Q185" s="23">
        <f>MIN(F$8,P185)+MAX(0,MIN(P185-MIN(F$8,P185),$C185-((H185-MIN(C$8,G185))+(K185-MIN(D$8,J185))+(N185-MIN(E$8,M185)))))</f>
        <v/>
      </c>
      <c r="R185" s="23">
        <f>ROUND(P185-Q185,2)</f>
        <v/>
      </c>
      <c r="S185" s="23">
        <f>ROUND(U184*(1+G$7/12),2)</f>
        <v/>
      </c>
      <c r="T185" s="23">
        <f>MIN(G$8,S185)+MAX(0,MIN(S185-MIN(G$8,S185),$C185-((H185-MIN(C$8,G185))+(K185-MIN(D$8,J185))+(N185-MIN(E$8,M185))+(Q185-MIN(F$8,P185)))))</f>
        <v/>
      </c>
      <c r="U185" s="23">
        <f>ROUND(S185-T185,2)</f>
        <v/>
      </c>
    </row>
    <row r="186">
      <c r="A186" t="n">
        <v>175</v>
      </c>
      <c r="B186" s="22">
        <f>EDATE(Debts!$B$5,174)</f>
        <v/>
      </c>
      <c r="C186" s="23">
        <f>MAX(0,Debts!$B$6-(MIN(C$8,G186)+MIN(D$8,J186)+MIN(E$8,M186)+MIN(F$8,P186)+MIN(G$8,S186)))</f>
        <v/>
      </c>
      <c r="D186" s="23">
        <f>H186+K186+N186+Q186+T186</f>
        <v/>
      </c>
      <c r="E186" s="23">
        <f>I186+L186+O186+R186+U186</f>
        <v/>
      </c>
      <c r="F186" s="23" t="n"/>
      <c r="G186" s="23">
        <f>ROUND(I185*(1+C$7/12),2)</f>
        <v/>
      </c>
      <c r="H186" s="23">
        <f>MIN(C$8,G186)+MAX(0,MIN(G186-MIN(C$8,G186),$C186-(0)))</f>
        <v/>
      </c>
      <c r="I186" s="23">
        <f>ROUND(G186-H186,2)</f>
        <v/>
      </c>
      <c r="J186" s="23">
        <f>ROUND(L185*(1+D$7/12),2)</f>
        <v/>
      </c>
      <c r="K186" s="23">
        <f>MIN(D$8,J186)+MAX(0,MIN(J186-MIN(D$8,J186),$C186-((H186-MIN(C$8,G186)))))</f>
        <v/>
      </c>
      <c r="L186" s="23">
        <f>ROUND(J186-K186,2)</f>
        <v/>
      </c>
      <c r="M186" s="23">
        <f>ROUND(O185*(1+E$7/12),2)</f>
        <v/>
      </c>
      <c r="N186" s="23">
        <f>MIN(E$8,M186)+MAX(0,MIN(M186-MIN(E$8,M186),$C186-((H186-MIN(C$8,G186))+(K186-MIN(D$8,J186)))))</f>
        <v/>
      </c>
      <c r="O186" s="23">
        <f>ROUND(M186-N186,2)</f>
        <v/>
      </c>
      <c r="P186" s="23">
        <f>ROUND(R185*(1+F$7/12),2)</f>
        <v/>
      </c>
      <c r="Q186" s="23">
        <f>MIN(F$8,P186)+MAX(0,MIN(P186-MIN(F$8,P186),$C186-((H186-MIN(C$8,G186))+(K186-MIN(D$8,J186))+(N186-MIN(E$8,M186)))))</f>
        <v/>
      </c>
      <c r="R186" s="23">
        <f>ROUND(P186-Q186,2)</f>
        <v/>
      </c>
      <c r="S186" s="23">
        <f>ROUND(U185*(1+G$7/12),2)</f>
        <v/>
      </c>
      <c r="T186" s="23">
        <f>MIN(G$8,S186)+MAX(0,MIN(S186-MIN(G$8,S186),$C186-((H186-MIN(C$8,G186))+(K186-MIN(D$8,J186))+(N186-MIN(E$8,M186))+(Q186-MIN(F$8,P186)))))</f>
        <v/>
      </c>
      <c r="U186" s="23">
        <f>ROUND(S186-T186,2)</f>
        <v/>
      </c>
    </row>
    <row r="187">
      <c r="A187" t="n">
        <v>176</v>
      </c>
      <c r="B187" s="22">
        <f>EDATE(Debts!$B$5,175)</f>
        <v/>
      </c>
      <c r="C187" s="23">
        <f>MAX(0,Debts!$B$6-(MIN(C$8,G187)+MIN(D$8,J187)+MIN(E$8,M187)+MIN(F$8,P187)+MIN(G$8,S187)))</f>
        <v/>
      </c>
      <c r="D187" s="23">
        <f>H187+K187+N187+Q187+T187</f>
        <v/>
      </c>
      <c r="E187" s="23">
        <f>I187+L187+O187+R187+U187</f>
        <v/>
      </c>
      <c r="F187" s="23" t="n"/>
      <c r="G187" s="23">
        <f>ROUND(I186*(1+C$7/12),2)</f>
        <v/>
      </c>
      <c r="H187" s="23">
        <f>MIN(C$8,G187)+MAX(0,MIN(G187-MIN(C$8,G187),$C187-(0)))</f>
        <v/>
      </c>
      <c r="I187" s="23">
        <f>ROUND(G187-H187,2)</f>
        <v/>
      </c>
      <c r="J187" s="23">
        <f>ROUND(L186*(1+D$7/12),2)</f>
        <v/>
      </c>
      <c r="K187" s="23">
        <f>MIN(D$8,J187)+MAX(0,MIN(J187-MIN(D$8,J187),$C187-((H187-MIN(C$8,G187)))))</f>
        <v/>
      </c>
      <c r="L187" s="23">
        <f>ROUND(J187-K187,2)</f>
        <v/>
      </c>
      <c r="M187" s="23">
        <f>ROUND(O186*(1+E$7/12),2)</f>
        <v/>
      </c>
      <c r="N187" s="23">
        <f>MIN(E$8,M187)+MAX(0,MIN(M187-MIN(E$8,M187),$C187-((H187-MIN(C$8,G187))+(K187-MIN(D$8,J187)))))</f>
        <v/>
      </c>
      <c r="O187" s="23">
        <f>ROUND(M187-N187,2)</f>
        <v/>
      </c>
      <c r="P187" s="23">
        <f>ROUND(R186*(1+F$7/12),2)</f>
        <v/>
      </c>
      <c r="Q187" s="23">
        <f>MIN(F$8,P187)+MAX(0,MIN(P187-MIN(F$8,P187),$C187-((H187-MIN(C$8,G187))+(K187-MIN(D$8,J187))+(N187-MIN(E$8,M187)))))</f>
        <v/>
      </c>
      <c r="R187" s="23">
        <f>ROUND(P187-Q187,2)</f>
        <v/>
      </c>
      <c r="S187" s="23">
        <f>ROUND(U186*(1+G$7/12),2)</f>
        <v/>
      </c>
      <c r="T187" s="23">
        <f>MIN(G$8,S187)+MAX(0,MIN(S187-MIN(G$8,S187),$C187-((H187-MIN(C$8,G187))+(K187-MIN(D$8,J187))+(N187-MIN(E$8,M187))+(Q187-MIN(F$8,P187)))))</f>
        <v/>
      </c>
      <c r="U187" s="23">
        <f>ROUND(S187-T187,2)</f>
        <v/>
      </c>
    </row>
    <row r="188">
      <c r="A188" t="n">
        <v>177</v>
      </c>
      <c r="B188" s="22">
        <f>EDATE(Debts!$B$5,176)</f>
        <v/>
      </c>
      <c r="C188" s="23">
        <f>MAX(0,Debts!$B$6-(MIN(C$8,G188)+MIN(D$8,J188)+MIN(E$8,M188)+MIN(F$8,P188)+MIN(G$8,S188)))</f>
        <v/>
      </c>
      <c r="D188" s="23">
        <f>H188+K188+N188+Q188+T188</f>
        <v/>
      </c>
      <c r="E188" s="23">
        <f>I188+L188+O188+R188+U188</f>
        <v/>
      </c>
      <c r="F188" s="23" t="n"/>
      <c r="G188" s="23">
        <f>ROUND(I187*(1+C$7/12),2)</f>
        <v/>
      </c>
      <c r="H188" s="23">
        <f>MIN(C$8,G188)+MAX(0,MIN(G188-MIN(C$8,G188),$C188-(0)))</f>
        <v/>
      </c>
      <c r="I188" s="23">
        <f>ROUND(G188-H188,2)</f>
        <v/>
      </c>
      <c r="J188" s="23">
        <f>ROUND(L187*(1+D$7/12),2)</f>
        <v/>
      </c>
      <c r="K188" s="23">
        <f>MIN(D$8,J188)+MAX(0,MIN(J188-MIN(D$8,J188),$C188-((H188-MIN(C$8,G188)))))</f>
        <v/>
      </c>
      <c r="L188" s="23">
        <f>ROUND(J188-K188,2)</f>
        <v/>
      </c>
      <c r="M188" s="23">
        <f>ROUND(O187*(1+E$7/12),2)</f>
        <v/>
      </c>
      <c r="N188" s="23">
        <f>MIN(E$8,M188)+MAX(0,MIN(M188-MIN(E$8,M188),$C188-((H188-MIN(C$8,G188))+(K188-MIN(D$8,J188)))))</f>
        <v/>
      </c>
      <c r="O188" s="23">
        <f>ROUND(M188-N188,2)</f>
        <v/>
      </c>
      <c r="P188" s="23">
        <f>ROUND(R187*(1+F$7/12),2)</f>
        <v/>
      </c>
      <c r="Q188" s="23">
        <f>MIN(F$8,P188)+MAX(0,MIN(P188-MIN(F$8,P188),$C188-((H188-MIN(C$8,G188))+(K188-MIN(D$8,J188))+(N188-MIN(E$8,M188)))))</f>
        <v/>
      </c>
      <c r="R188" s="23">
        <f>ROUND(P188-Q188,2)</f>
        <v/>
      </c>
      <c r="S188" s="23">
        <f>ROUND(U187*(1+G$7/12),2)</f>
        <v/>
      </c>
      <c r="T188" s="23">
        <f>MIN(G$8,S188)+MAX(0,MIN(S188-MIN(G$8,S188),$C188-((H188-MIN(C$8,G188))+(K188-MIN(D$8,J188))+(N188-MIN(E$8,M188))+(Q188-MIN(F$8,P188)))))</f>
        <v/>
      </c>
      <c r="U188" s="23">
        <f>ROUND(S188-T188,2)</f>
        <v/>
      </c>
    </row>
    <row r="189">
      <c r="A189" t="n">
        <v>178</v>
      </c>
      <c r="B189" s="22">
        <f>EDATE(Debts!$B$5,177)</f>
        <v/>
      </c>
      <c r="C189" s="23">
        <f>MAX(0,Debts!$B$6-(MIN(C$8,G189)+MIN(D$8,J189)+MIN(E$8,M189)+MIN(F$8,P189)+MIN(G$8,S189)))</f>
        <v/>
      </c>
      <c r="D189" s="23">
        <f>H189+K189+N189+Q189+T189</f>
        <v/>
      </c>
      <c r="E189" s="23">
        <f>I189+L189+O189+R189+U189</f>
        <v/>
      </c>
      <c r="F189" s="23" t="n"/>
      <c r="G189" s="23">
        <f>ROUND(I188*(1+C$7/12),2)</f>
        <v/>
      </c>
      <c r="H189" s="23">
        <f>MIN(C$8,G189)+MAX(0,MIN(G189-MIN(C$8,G189),$C189-(0)))</f>
        <v/>
      </c>
      <c r="I189" s="23">
        <f>ROUND(G189-H189,2)</f>
        <v/>
      </c>
      <c r="J189" s="23">
        <f>ROUND(L188*(1+D$7/12),2)</f>
        <v/>
      </c>
      <c r="K189" s="23">
        <f>MIN(D$8,J189)+MAX(0,MIN(J189-MIN(D$8,J189),$C189-((H189-MIN(C$8,G189)))))</f>
        <v/>
      </c>
      <c r="L189" s="23">
        <f>ROUND(J189-K189,2)</f>
        <v/>
      </c>
      <c r="M189" s="23">
        <f>ROUND(O188*(1+E$7/12),2)</f>
        <v/>
      </c>
      <c r="N189" s="23">
        <f>MIN(E$8,M189)+MAX(0,MIN(M189-MIN(E$8,M189),$C189-((H189-MIN(C$8,G189))+(K189-MIN(D$8,J189)))))</f>
        <v/>
      </c>
      <c r="O189" s="23">
        <f>ROUND(M189-N189,2)</f>
        <v/>
      </c>
      <c r="P189" s="23">
        <f>ROUND(R188*(1+F$7/12),2)</f>
        <v/>
      </c>
      <c r="Q189" s="23">
        <f>MIN(F$8,P189)+MAX(0,MIN(P189-MIN(F$8,P189),$C189-((H189-MIN(C$8,G189))+(K189-MIN(D$8,J189))+(N189-MIN(E$8,M189)))))</f>
        <v/>
      </c>
      <c r="R189" s="23">
        <f>ROUND(P189-Q189,2)</f>
        <v/>
      </c>
      <c r="S189" s="23">
        <f>ROUND(U188*(1+G$7/12),2)</f>
        <v/>
      </c>
      <c r="T189" s="23">
        <f>MIN(G$8,S189)+MAX(0,MIN(S189-MIN(G$8,S189),$C189-((H189-MIN(C$8,G189))+(K189-MIN(D$8,J189))+(N189-MIN(E$8,M189))+(Q189-MIN(F$8,P189)))))</f>
        <v/>
      </c>
      <c r="U189" s="23">
        <f>ROUND(S189-T189,2)</f>
        <v/>
      </c>
    </row>
    <row r="190">
      <c r="A190" t="n">
        <v>179</v>
      </c>
      <c r="B190" s="22">
        <f>EDATE(Debts!$B$5,178)</f>
        <v/>
      </c>
      <c r="C190" s="23">
        <f>MAX(0,Debts!$B$6-(MIN(C$8,G190)+MIN(D$8,J190)+MIN(E$8,M190)+MIN(F$8,P190)+MIN(G$8,S190)))</f>
        <v/>
      </c>
      <c r="D190" s="23">
        <f>H190+K190+N190+Q190+T190</f>
        <v/>
      </c>
      <c r="E190" s="23">
        <f>I190+L190+O190+R190+U190</f>
        <v/>
      </c>
      <c r="F190" s="23" t="n"/>
      <c r="G190" s="23">
        <f>ROUND(I189*(1+C$7/12),2)</f>
        <v/>
      </c>
      <c r="H190" s="23">
        <f>MIN(C$8,G190)+MAX(0,MIN(G190-MIN(C$8,G190),$C190-(0)))</f>
        <v/>
      </c>
      <c r="I190" s="23">
        <f>ROUND(G190-H190,2)</f>
        <v/>
      </c>
      <c r="J190" s="23">
        <f>ROUND(L189*(1+D$7/12),2)</f>
        <v/>
      </c>
      <c r="K190" s="23">
        <f>MIN(D$8,J190)+MAX(0,MIN(J190-MIN(D$8,J190),$C190-((H190-MIN(C$8,G190)))))</f>
        <v/>
      </c>
      <c r="L190" s="23">
        <f>ROUND(J190-K190,2)</f>
        <v/>
      </c>
      <c r="M190" s="23">
        <f>ROUND(O189*(1+E$7/12),2)</f>
        <v/>
      </c>
      <c r="N190" s="23">
        <f>MIN(E$8,M190)+MAX(0,MIN(M190-MIN(E$8,M190),$C190-((H190-MIN(C$8,G190))+(K190-MIN(D$8,J190)))))</f>
        <v/>
      </c>
      <c r="O190" s="23">
        <f>ROUND(M190-N190,2)</f>
        <v/>
      </c>
      <c r="P190" s="23">
        <f>ROUND(R189*(1+F$7/12),2)</f>
        <v/>
      </c>
      <c r="Q190" s="23">
        <f>MIN(F$8,P190)+MAX(0,MIN(P190-MIN(F$8,P190),$C190-((H190-MIN(C$8,G190))+(K190-MIN(D$8,J190))+(N190-MIN(E$8,M190)))))</f>
        <v/>
      </c>
      <c r="R190" s="23">
        <f>ROUND(P190-Q190,2)</f>
        <v/>
      </c>
      <c r="S190" s="23">
        <f>ROUND(U189*(1+G$7/12),2)</f>
        <v/>
      </c>
      <c r="T190" s="23">
        <f>MIN(G$8,S190)+MAX(0,MIN(S190-MIN(G$8,S190),$C190-((H190-MIN(C$8,G190))+(K190-MIN(D$8,J190))+(N190-MIN(E$8,M190))+(Q190-MIN(F$8,P190)))))</f>
        <v/>
      </c>
      <c r="U190" s="23">
        <f>ROUND(S190-T190,2)</f>
        <v/>
      </c>
    </row>
    <row r="191">
      <c r="A191" t="n">
        <v>180</v>
      </c>
      <c r="B191" s="22">
        <f>EDATE(Debts!$B$5,179)</f>
        <v/>
      </c>
      <c r="C191" s="23">
        <f>MAX(0,Debts!$B$6-(MIN(C$8,G191)+MIN(D$8,J191)+MIN(E$8,M191)+MIN(F$8,P191)+MIN(G$8,S191)))</f>
        <v/>
      </c>
      <c r="D191" s="23">
        <f>H191+K191+N191+Q191+T191</f>
        <v/>
      </c>
      <c r="E191" s="23">
        <f>I191+L191+O191+R191+U191</f>
        <v/>
      </c>
      <c r="F191" s="23" t="n"/>
      <c r="G191" s="23">
        <f>ROUND(I190*(1+C$7/12),2)</f>
        <v/>
      </c>
      <c r="H191" s="23">
        <f>MIN(C$8,G191)+MAX(0,MIN(G191-MIN(C$8,G191),$C191-(0)))</f>
        <v/>
      </c>
      <c r="I191" s="23">
        <f>ROUND(G191-H191,2)</f>
        <v/>
      </c>
      <c r="J191" s="23">
        <f>ROUND(L190*(1+D$7/12),2)</f>
        <v/>
      </c>
      <c r="K191" s="23">
        <f>MIN(D$8,J191)+MAX(0,MIN(J191-MIN(D$8,J191),$C191-((H191-MIN(C$8,G191)))))</f>
        <v/>
      </c>
      <c r="L191" s="23">
        <f>ROUND(J191-K191,2)</f>
        <v/>
      </c>
      <c r="M191" s="23">
        <f>ROUND(O190*(1+E$7/12),2)</f>
        <v/>
      </c>
      <c r="N191" s="23">
        <f>MIN(E$8,M191)+MAX(0,MIN(M191-MIN(E$8,M191),$C191-((H191-MIN(C$8,G191))+(K191-MIN(D$8,J191)))))</f>
        <v/>
      </c>
      <c r="O191" s="23">
        <f>ROUND(M191-N191,2)</f>
        <v/>
      </c>
      <c r="P191" s="23">
        <f>ROUND(R190*(1+F$7/12),2)</f>
        <v/>
      </c>
      <c r="Q191" s="23">
        <f>MIN(F$8,P191)+MAX(0,MIN(P191-MIN(F$8,P191),$C191-((H191-MIN(C$8,G191))+(K191-MIN(D$8,J191))+(N191-MIN(E$8,M191)))))</f>
        <v/>
      </c>
      <c r="R191" s="23">
        <f>ROUND(P191-Q191,2)</f>
        <v/>
      </c>
      <c r="S191" s="23">
        <f>ROUND(U190*(1+G$7/12),2)</f>
        <v/>
      </c>
      <c r="T191" s="23">
        <f>MIN(G$8,S191)+MAX(0,MIN(S191-MIN(G$8,S191),$C191-((H191-MIN(C$8,G191))+(K191-MIN(D$8,J191))+(N191-MIN(E$8,M191))+(Q191-MIN(F$8,P191)))))</f>
        <v/>
      </c>
      <c r="U191" s="23">
        <f>ROUND(S191-T191,2)</f>
        <v/>
      </c>
    </row>
    <row r="192">
      <c r="A192" t="n">
        <v>181</v>
      </c>
      <c r="B192" s="22">
        <f>EDATE(Debts!$B$5,180)</f>
        <v/>
      </c>
      <c r="C192" s="23">
        <f>MAX(0,Debts!$B$6-(MIN(C$8,G192)+MIN(D$8,J192)+MIN(E$8,M192)+MIN(F$8,P192)+MIN(G$8,S192)))</f>
        <v/>
      </c>
      <c r="D192" s="23">
        <f>H192+K192+N192+Q192+T192</f>
        <v/>
      </c>
      <c r="E192" s="23">
        <f>I192+L192+O192+R192+U192</f>
        <v/>
      </c>
      <c r="F192" s="23" t="n"/>
      <c r="G192" s="23">
        <f>ROUND(I191*(1+C$7/12),2)</f>
        <v/>
      </c>
      <c r="H192" s="23">
        <f>MIN(C$8,G192)+MAX(0,MIN(G192-MIN(C$8,G192),$C192-(0)))</f>
        <v/>
      </c>
      <c r="I192" s="23">
        <f>ROUND(G192-H192,2)</f>
        <v/>
      </c>
      <c r="J192" s="23">
        <f>ROUND(L191*(1+D$7/12),2)</f>
        <v/>
      </c>
      <c r="K192" s="23">
        <f>MIN(D$8,J192)+MAX(0,MIN(J192-MIN(D$8,J192),$C192-((H192-MIN(C$8,G192)))))</f>
        <v/>
      </c>
      <c r="L192" s="23">
        <f>ROUND(J192-K192,2)</f>
        <v/>
      </c>
      <c r="M192" s="23">
        <f>ROUND(O191*(1+E$7/12),2)</f>
        <v/>
      </c>
      <c r="N192" s="23">
        <f>MIN(E$8,M192)+MAX(0,MIN(M192-MIN(E$8,M192),$C192-((H192-MIN(C$8,G192))+(K192-MIN(D$8,J192)))))</f>
        <v/>
      </c>
      <c r="O192" s="23">
        <f>ROUND(M192-N192,2)</f>
        <v/>
      </c>
      <c r="P192" s="23">
        <f>ROUND(R191*(1+F$7/12),2)</f>
        <v/>
      </c>
      <c r="Q192" s="23">
        <f>MIN(F$8,P192)+MAX(0,MIN(P192-MIN(F$8,P192),$C192-((H192-MIN(C$8,G192))+(K192-MIN(D$8,J192))+(N192-MIN(E$8,M192)))))</f>
        <v/>
      </c>
      <c r="R192" s="23">
        <f>ROUND(P192-Q192,2)</f>
        <v/>
      </c>
      <c r="S192" s="23">
        <f>ROUND(U191*(1+G$7/12),2)</f>
        <v/>
      </c>
      <c r="T192" s="23">
        <f>MIN(G$8,S192)+MAX(0,MIN(S192-MIN(G$8,S192),$C192-((H192-MIN(C$8,G192))+(K192-MIN(D$8,J192))+(N192-MIN(E$8,M192))+(Q192-MIN(F$8,P192)))))</f>
        <v/>
      </c>
      <c r="U192" s="23">
        <f>ROUND(S192-T192,2)</f>
        <v/>
      </c>
    </row>
    <row r="193">
      <c r="A193" t="n">
        <v>182</v>
      </c>
      <c r="B193" s="22">
        <f>EDATE(Debts!$B$5,181)</f>
        <v/>
      </c>
      <c r="C193" s="23">
        <f>MAX(0,Debts!$B$6-(MIN(C$8,G193)+MIN(D$8,J193)+MIN(E$8,M193)+MIN(F$8,P193)+MIN(G$8,S193)))</f>
        <v/>
      </c>
      <c r="D193" s="23">
        <f>H193+K193+N193+Q193+T193</f>
        <v/>
      </c>
      <c r="E193" s="23">
        <f>I193+L193+O193+R193+U193</f>
        <v/>
      </c>
      <c r="F193" s="23" t="n"/>
      <c r="G193" s="23">
        <f>ROUND(I192*(1+C$7/12),2)</f>
        <v/>
      </c>
      <c r="H193" s="23">
        <f>MIN(C$8,G193)+MAX(0,MIN(G193-MIN(C$8,G193),$C193-(0)))</f>
        <v/>
      </c>
      <c r="I193" s="23">
        <f>ROUND(G193-H193,2)</f>
        <v/>
      </c>
      <c r="J193" s="23">
        <f>ROUND(L192*(1+D$7/12),2)</f>
        <v/>
      </c>
      <c r="K193" s="23">
        <f>MIN(D$8,J193)+MAX(0,MIN(J193-MIN(D$8,J193),$C193-((H193-MIN(C$8,G193)))))</f>
        <v/>
      </c>
      <c r="L193" s="23">
        <f>ROUND(J193-K193,2)</f>
        <v/>
      </c>
      <c r="M193" s="23">
        <f>ROUND(O192*(1+E$7/12),2)</f>
        <v/>
      </c>
      <c r="N193" s="23">
        <f>MIN(E$8,M193)+MAX(0,MIN(M193-MIN(E$8,M193),$C193-((H193-MIN(C$8,G193))+(K193-MIN(D$8,J193)))))</f>
        <v/>
      </c>
      <c r="O193" s="23">
        <f>ROUND(M193-N193,2)</f>
        <v/>
      </c>
      <c r="P193" s="23">
        <f>ROUND(R192*(1+F$7/12),2)</f>
        <v/>
      </c>
      <c r="Q193" s="23">
        <f>MIN(F$8,P193)+MAX(0,MIN(P193-MIN(F$8,P193),$C193-((H193-MIN(C$8,G193))+(K193-MIN(D$8,J193))+(N193-MIN(E$8,M193)))))</f>
        <v/>
      </c>
      <c r="R193" s="23">
        <f>ROUND(P193-Q193,2)</f>
        <v/>
      </c>
      <c r="S193" s="23">
        <f>ROUND(U192*(1+G$7/12),2)</f>
        <v/>
      </c>
      <c r="T193" s="23">
        <f>MIN(G$8,S193)+MAX(0,MIN(S193-MIN(G$8,S193),$C193-((H193-MIN(C$8,G193))+(K193-MIN(D$8,J193))+(N193-MIN(E$8,M193))+(Q193-MIN(F$8,P193)))))</f>
        <v/>
      </c>
      <c r="U193" s="23">
        <f>ROUND(S193-T193,2)</f>
        <v/>
      </c>
    </row>
    <row r="194">
      <c r="A194" t="n">
        <v>183</v>
      </c>
      <c r="B194" s="22">
        <f>EDATE(Debts!$B$5,182)</f>
        <v/>
      </c>
      <c r="C194" s="23">
        <f>MAX(0,Debts!$B$6-(MIN(C$8,G194)+MIN(D$8,J194)+MIN(E$8,M194)+MIN(F$8,P194)+MIN(G$8,S194)))</f>
        <v/>
      </c>
      <c r="D194" s="23">
        <f>H194+K194+N194+Q194+T194</f>
        <v/>
      </c>
      <c r="E194" s="23">
        <f>I194+L194+O194+R194+U194</f>
        <v/>
      </c>
      <c r="F194" s="23" t="n"/>
      <c r="G194" s="23">
        <f>ROUND(I193*(1+C$7/12),2)</f>
        <v/>
      </c>
      <c r="H194" s="23">
        <f>MIN(C$8,G194)+MAX(0,MIN(G194-MIN(C$8,G194),$C194-(0)))</f>
        <v/>
      </c>
      <c r="I194" s="23">
        <f>ROUND(G194-H194,2)</f>
        <v/>
      </c>
      <c r="J194" s="23">
        <f>ROUND(L193*(1+D$7/12),2)</f>
        <v/>
      </c>
      <c r="K194" s="23">
        <f>MIN(D$8,J194)+MAX(0,MIN(J194-MIN(D$8,J194),$C194-((H194-MIN(C$8,G194)))))</f>
        <v/>
      </c>
      <c r="L194" s="23">
        <f>ROUND(J194-K194,2)</f>
        <v/>
      </c>
      <c r="M194" s="23">
        <f>ROUND(O193*(1+E$7/12),2)</f>
        <v/>
      </c>
      <c r="N194" s="23">
        <f>MIN(E$8,M194)+MAX(0,MIN(M194-MIN(E$8,M194),$C194-((H194-MIN(C$8,G194))+(K194-MIN(D$8,J194)))))</f>
        <v/>
      </c>
      <c r="O194" s="23">
        <f>ROUND(M194-N194,2)</f>
        <v/>
      </c>
      <c r="P194" s="23">
        <f>ROUND(R193*(1+F$7/12),2)</f>
        <v/>
      </c>
      <c r="Q194" s="23">
        <f>MIN(F$8,P194)+MAX(0,MIN(P194-MIN(F$8,P194),$C194-((H194-MIN(C$8,G194))+(K194-MIN(D$8,J194))+(N194-MIN(E$8,M194)))))</f>
        <v/>
      </c>
      <c r="R194" s="23">
        <f>ROUND(P194-Q194,2)</f>
        <v/>
      </c>
      <c r="S194" s="23">
        <f>ROUND(U193*(1+G$7/12),2)</f>
        <v/>
      </c>
      <c r="T194" s="23">
        <f>MIN(G$8,S194)+MAX(0,MIN(S194-MIN(G$8,S194),$C194-((H194-MIN(C$8,G194))+(K194-MIN(D$8,J194))+(N194-MIN(E$8,M194))+(Q194-MIN(F$8,P194)))))</f>
        <v/>
      </c>
      <c r="U194" s="23">
        <f>ROUND(S194-T194,2)</f>
        <v/>
      </c>
    </row>
    <row r="195">
      <c r="A195" t="n">
        <v>184</v>
      </c>
      <c r="B195" s="22">
        <f>EDATE(Debts!$B$5,183)</f>
        <v/>
      </c>
      <c r="C195" s="23">
        <f>MAX(0,Debts!$B$6-(MIN(C$8,G195)+MIN(D$8,J195)+MIN(E$8,M195)+MIN(F$8,P195)+MIN(G$8,S195)))</f>
        <v/>
      </c>
      <c r="D195" s="23">
        <f>H195+K195+N195+Q195+T195</f>
        <v/>
      </c>
      <c r="E195" s="23">
        <f>I195+L195+O195+R195+U195</f>
        <v/>
      </c>
      <c r="F195" s="23" t="n"/>
      <c r="G195" s="23">
        <f>ROUND(I194*(1+C$7/12),2)</f>
        <v/>
      </c>
      <c r="H195" s="23">
        <f>MIN(C$8,G195)+MAX(0,MIN(G195-MIN(C$8,G195),$C195-(0)))</f>
        <v/>
      </c>
      <c r="I195" s="23">
        <f>ROUND(G195-H195,2)</f>
        <v/>
      </c>
      <c r="J195" s="23">
        <f>ROUND(L194*(1+D$7/12),2)</f>
        <v/>
      </c>
      <c r="K195" s="23">
        <f>MIN(D$8,J195)+MAX(0,MIN(J195-MIN(D$8,J195),$C195-((H195-MIN(C$8,G195)))))</f>
        <v/>
      </c>
      <c r="L195" s="23">
        <f>ROUND(J195-K195,2)</f>
        <v/>
      </c>
      <c r="M195" s="23">
        <f>ROUND(O194*(1+E$7/12),2)</f>
        <v/>
      </c>
      <c r="N195" s="23">
        <f>MIN(E$8,M195)+MAX(0,MIN(M195-MIN(E$8,M195),$C195-((H195-MIN(C$8,G195))+(K195-MIN(D$8,J195)))))</f>
        <v/>
      </c>
      <c r="O195" s="23">
        <f>ROUND(M195-N195,2)</f>
        <v/>
      </c>
      <c r="P195" s="23">
        <f>ROUND(R194*(1+F$7/12),2)</f>
        <v/>
      </c>
      <c r="Q195" s="23">
        <f>MIN(F$8,P195)+MAX(0,MIN(P195-MIN(F$8,P195),$C195-((H195-MIN(C$8,G195))+(K195-MIN(D$8,J195))+(N195-MIN(E$8,M195)))))</f>
        <v/>
      </c>
      <c r="R195" s="23">
        <f>ROUND(P195-Q195,2)</f>
        <v/>
      </c>
      <c r="S195" s="23">
        <f>ROUND(U194*(1+G$7/12),2)</f>
        <v/>
      </c>
      <c r="T195" s="23">
        <f>MIN(G$8,S195)+MAX(0,MIN(S195-MIN(G$8,S195),$C195-((H195-MIN(C$8,G195))+(K195-MIN(D$8,J195))+(N195-MIN(E$8,M195))+(Q195-MIN(F$8,P195)))))</f>
        <v/>
      </c>
      <c r="U195" s="23">
        <f>ROUND(S195-T195,2)</f>
        <v/>
      </c>
    </row>
    <row r="196">
      <c r="A196" t="n">
        <v>185</v>
      </c>
      <c r="B196" s="22">
        <f>EDATE(Debts!$B$5,184)</f>
        <v/>
      </c>
      <c r="C196" s="23">
        <f>MAX(0,Debts!$B$6-(MIN(C$8,G196)+MIN(D$8,J196)+MIN(E$8,M196)+MIN(F$8,P196)+MIN(G$8,S196)))</f>
        <v/>
      </c>
      <c r="D196" s="23">
        <f>H196+K196+N196+Q196+T196</f>
        <v/>
      </c>
      <c r="E196" s="23">
        <f>I196+L196+O196+R196+U196</f>
        <v/>
      </c>
      <c r="F196" s="23" t="n"/>
      <c r="G196" s="23">
        <f>ROUND(I195*(1+C$7/12),2)</f>
        <v/>
      </c>
      <c r="H196" s="23">
        <f>MIN(C$8,G196)+MAX(0,MIN(G196-MIN(C$8,G196),$C196-(0)))</f>
        <v/>
      </c>
      <c r="I196" s="23">
        <f>ROUND(G196-H196,2)</f>
        <v/>
      </c>
      <c r="J196" s="23">
        <f>ROUND(L195*(1+D$7/12),2)</f>
        <v/>
      </c>
      <c r="K196" s="23">
        <f>MIN(D$8,J196)+MAX(0,MIN(J196-MIN(D$8,J196),$C196-((H196-MIN(C$8,G196)))))</f>
        <v/>
      </c>
      <c r="L196" s="23">
        <f>ROUND(J196-K196,2)</f>
        <v/>
      </c>
      <c r="M196" s="23">
        <f>ROUND(O195*(1+E$7/12),2)</f>
        <v/>
      </c>
      <c r="N196" s="23">
        <f>MIN(E$8,M196)+MAX(0,MIN(M196-MIN(E$8,M196),$C196-((H196-MIN(C$8,G196))+(K196-MIN(D$8,J196)))))</f>
        <v/>
      </c>
      <c r="O196" s="23">
        <f>ROUND(M196-N196,2)</f>
        <v/>
      </c>
      <c r="P196" s="23">
        <f>ROUND(R195*(1+F$7/12),2)</f>
        <v/>
      </c>
      <c r="Q196" s="23">
        <f>MIN(F$8,P196)+MAX(0,MIN(P196-MIN(F$8,P196),$C196-((H196-MIN(C$8,G196))+(K196-MIN(D$8,J196))+(N196-MIN(E$8,M196)))))</f>
        <v/>
      </c>
      <c r="R196" s="23">
        <f>ROUND(P196-Q196,2)</f>
        <v/>
      </c>
      <c r="S196" s="23">
        <f>ROUND(U195*(1+G$7/12),2)</f>
        <v/>
      </c>
      <c r="T196" s="23">
        <f>MIN(G$8,S196)+MAX(0,MIN(S196-MIN(G$8,S196),$C196-((H196-MIN(C$8,G196))+(K196-MIN(D$8,J196))+(N196-MIN(E$8,M196))+(Q196-MIN(F$8,P196)))))</f>
        <v/>
      </c>
      <c r="U196" s="23">
        <f>ROUND(S196-T196,2)</f>
        <v/>
      </c>
    </row>
    <row r="197">
      <c r="A197" t="n">
        <v>186</v>
      </c>
      <c r="B197" s="22">
        <f>EDATE(Debts!$B$5,185)</f>
        <v/>
      </c>
      <c r="C197" s="23">
        <f>MAX(0,Debts!$B$6-(MIN(C$8,G197)+MIN(D$8,J197)+MIN(E$8,M197)+MIN(F$8,P197)+MIN(G$8,S197)))</f>
        <v/>
      </c>
      <c r="D197" s="23">
        <f>H197+K197+N197+Q197+T197</f>
        <v/>
      </c>
      <c r="E197" s="23">
        <f>I197+L197+O197+R197+U197</f>
        <v/>
      </c>
      <c r="F197" s="23" t="n"/>
      <c r="G197" s="23">
        <f>ROUND(I196*(1+C$7/12),2)</f>
        <v/>
      </c>
      <c r="H197" s="23">
        <f>MIN(C$8,G197)+MAX(0,MIN(G197-MIN(C$8,G197),$C197-(0)))</f>
        <v/>
      </c>
      <c r="I197" s="23">
        <f>ROUND(G197-H197,2)</f>
        <v/>
      </c>
      <c r="J197" s="23">
        <f>ROUND(L196*(1+D$7/12),2)</f>
        <v/>
      </c>
      <c r="K197" s="23">
        <f>MIN(D$8,J197)+MAX(0,MIN(J197-MIN(D$8,J197),$C197-((H197-MIN(C$8,G197)))))</f>
        <v/>
      </c>
      <c r="L197" s="23">
        <f>ROUND(J197-K197,2)</f>
        <v/>
      </c>
      <c r="M197" s="23">
        <f>ROUND(O196*(1+E$7/12),2)</f>
        <v/>
      </c>
      <c r="N197" s="23">
        <f>MIN(E$8,M197)+MAX(0,MIN(M197-MIN(E$8,M197),$C197-((H197-MIN(C$8,G197))+(K197-MIN(D$8,J197)))))</f>
        <v/>
      </c>
      <c r="O197" s="23">
        <f>ROUND(M197-N197,2)</f>
        <v/>
      </c>
      <c r="P197" s="23">
        <f>ROUND(R196*(1+F$7/12),2)</f>
        <v/>
      </c>
      <c r="Q197" s="23">
        <f>MIN(F$8,P197)+MAX(0,MIN(P197-MIN(F$8,P197),$C197-((H197-MIN(C$8,G197))+(K197-MIN(D$8,J197))+(N197-MIN(E$8,M197)))))</f>
        <v/>
      </c>
      <c r="R197" s="23">
        <f>ROUND(P197-Q197,2)</f>
        <v/>
      </c>
      <c r="S197" s="23">
        <f>ROUND(U196*(1+G$7/12),2)</f>
        <v/>
      </c>
      <c r="T197" s="23">
        <f>MIN(G$8,S197)+MAX(0,MIN(S197-MIN(G$8,S197),$C197-((H197-MIN(C$8,G197))+(K197-MIN(D$8,J197))+(N197-MIN(E$8,M197))+(Q197-MIN(F$8,P197)))))</f>
        <v/>
      </c>
      <c r="U197" s="23">
        <f>ROUND(S197-T197,2)</f>
        <v/>
      </c>
    </row>
    <row r="198">
      <c r="A198" t="n">
        <v>187</v>
      </c>
      <c r="B198" s="22">
        <f>EDATE(Debts!$B$5,186)</f>
        <v/>
      </c>
      <c r="C198" s="23">
        <f>MAX(0,Debts!$B$6-(MIN(C$8,G198)+MIN(D$8,J198)+MIN(E$8,M198)+MIN(F$8,P198)+MIN(G$8,S198)))</f>
        <v/>
      </c>
      <c r="D198" s="23">
        <f>H198+K198+N198+Q198+T198</f>
        <v/>
      </c>
      <c r="E198" s="23">
        <f>I198+L198+O198+R198+U198</f>
        <v/>
      </c>
      <c r="F198" s="23" t="n"/>
      <c r="G198" s="23">
        <f>ROUND(I197*(1+C$7/12),2)</f>
        <v/>
      </c>
      <c r="H198" s="23">
        <f>MIN(C$8,G198)+MAX(0,MIN(G198-MIN(C$8,G198),$C198-(0)))</f>
        <v/>
      </c>
      <c r="I198" s="23">
        <f>ROUND(G198-H198,2)</f>
        <v/>
      </c>
      <c r="J198" s="23">
        <f>ROUND(L197*(1+D$7/12),2)</f>
        <v/>
      </c>
      <c r="K198" s="23">
        <f>MIN(D$8,J198)+MAX(0,MIN(J198-MIN(D$8,J198),$C198-((H198-MIN(C$8,G198)))))</f>
        <v/>
      </c>
      <c r="L198" s="23">
        <f>ROUND(J198-K198,2)</f>
        <v/>
      </c>
      <c r="M198" s="23">
        <f>ROUND(O197*(1+E$7/12),2)</f>
        <v/>
      </c>
      <c r="N198" s="23">
        <f>MIN(E$8,M198)+MAX(0,MIN(M198-MIN(E$8,M198),$C198-((H198-MIN(C$8,G198))+(K198-MIN(D$8,J198)))))</f>
        <v/>
      </c>
      <c r="O198" s="23">
        <f>ROUND(M198-N198,2)</f>
        <v/>
      </c>
      <c r="P198" s="23">
        <f>ROUND(R197*(1+F$7/12),2)</f>
        <v/>
      </c>
      <c r="Q198" s="23">
        <f>MIN(F$8,P198)+MAX(0,MIN(P198-MIN(F$8,P198),$C198-((H198-MIN(C$8,G198))+(K198-MIN(D$8,J198))+(N198-MIN(E$8,M198)))))</f>
        <v/>
      </c>
      <c r="R198" s="23">
        <f>ROUND(P198-Q198,2)</f>
        <v/>
      </c>
      <c r="S198" s="23">
        <f>ROUND(U197*(1+G$7/12),2)</f>
        <v/>
      </c>
      <c r="T198" s="23">
        <f>MIN(G$8,S198)+MAX(0,MIN(S198-MIN(G$8,S198),$C198-((H198-MIN(C$8,G198))+(K198-MIN(D$8,J198))+(N198-MIN(E$8,M198))+(Q198-MIN(F$8,P198)))))</f>
        <v/>
      </c>
      <c r="U198" s="23">
        <f>ROUND(S198-T198,2)</f>
        <v/>
      </c>
    </row>
    <row r="199">
      <c r="A199" t="n">
        <v>188</v>
      </c>
      <c r="B199" s="22">
        <f>EDATE(Debts!$B$5,187)</f>
        <v/>
      </c>
      <c r="C199" s="23">
        <f>MAX(0,Debts!$B$6-(MIN(C$8,G199)+MIN(D$8,J199)+MIN(E$8,M199)+MIN(F$8,P199)+MIN(G$8,S199)))</f>
        <v/>
      </c>
      <c r="D199" s="23">
        <f>H199+K199+N199+Q199+T199</f>
        <v/>
      </c>
      <c r="E199" s="23">
        <f>I199+L199+O199+R199+U199</f>
        <v/>
      </c>
      <c r="F199" s="23" t="n"/>
      <c r="G199" s="23">
        <f>ROUND(I198*(1+C$7/12),2)</f>
        <v/>
      </c>
      <c r="H199" s="23">
        <f>MIN(C$8,G199)+MAX(0,MIN(G199-MIN(C$8,G199),$C199-(0)))</f>
        <v/>
      </c>
      <c r="I199" s="23">
        <f>ROUND(G199-H199,2)</f>
        <v/>
      </c>
      <c r="J199" s="23">
        <f>ROUND(L198*(1+D$7/12),2)</f>
        <v/>
      </c>
      <c r="K199" s="23">
        <f>MIN(D$8,J199)+MAX(0,MIN(J199-MIN(D$8,J199),$C199-((H199-MIN(C$8,G199)))))</f>
        <v/>
      </c>
      <c r="L199" s="23">
        <f>ROUND(J199-K199,2)</f>
        <v/>
      </c>
      <c r="M199" s="23">
        <f>ROUND(O198*(1+E$7/12),2)</f>
        <v/>
      </c>
      <c r="N199" s="23">
        <f>MIN(E$8,M199)+MAX(0,MIN(M199-MIN(E$8,M199),$C199-((H199-MIN(C$8,G199))+(K199-MIN(D$8,J199)))))</f>
        <v/>
      </c>
      <c r="O199" s="23">
        <f>ROUND(M199-N199,2)</f>
        <v/>
      </c>
      <c r="P199" s="23">
        <f>ROUND(R198*(1+F$7/12),2)</f>
        <v/>
      </c>
      <c r="Q199" s="23">
        <f>MIN(F$8,P199)+MAX(0,MIN(P199-MIN(F$8,P199),$C199-((H199-MIN(C$8,G199))+(K199-MIN(D$8,J199))+(N199-MIN(E$8,M199)))))</f>
        <v/>
      </c>
      <c r="R199" s="23">
        <f>ROUND(P199-Q199,2)</f>
        <v/>
      </c>
      <c r="S199" s="23">
        <f>ROUND(U198*(1+G$7/12),2)</f>
        <v/>
      </c>
      <c r="T199" s="23">
        <f>MIN(G$8,S199)+MAX(0,MIN(S199-MIN(G$8,S199),$C199-((H199-MIN(C$8,G199))+(K199-MIN(D$8,J199))+(N199-MIN(E$8,M199))+(Q199-MIN(F$8,P199)))))</f>
        <v/>
      </c>
      <c r="U199" s="23">
        <f>ROUND(S199-T199,2)</f>
        <v/>
      </c>
    </row>
    <row r="200">
      <c r="A200" t="n">
        <v>189</v>
      </c>
      <c r="B200" s="22">
        <f>EDATE(Debts!$B$5,188)</f>
        <v/>
      </c>
      <c r="C200" s="23">
        <f>MAX(0,Debts!$B$6-(MIN(C$8,G200)+MIN(D$8,J200)+MIN(E$8,M200)+MIN(F$8,P200)+MIN(G$8,S200)))</f>
        <v/>
      </c>
      <c r="D200" s="23">
        <f>H200+K200+N200+Q200+T200</f>
        <v/>
      </c>
      <c r="E200" s="23">
        <f>I200+L200+O200+R200+U200</f>
        <v/>
      </c>
      <c r="F200" s="23" t="n"/>
      <c r="G200" s="23">
        <f>ROUND(I199*(1+C$7/12),2)</f>
        <v/>
      </c>
      <c r="H200" s="23">
        <f>MIN(C$8,G200)+MAX(0,MIN(G200-MIN(C$8,G200),$C200-(0)))</f>
        <v/>
      </c>
      <c r="I200" s="23">
        <f>ROUND(G200-H200,2)</f>
        <v/>
      </c>
      <c r="J200" s="23">
        <f>ROUND(L199*(1+D$7/12),2)</f>
        <v/>
      </c>
      <c r="K200" s="23">
        <f>MIN(D$8,J200)+MAX(0,MIN(J200-MIN(D$8,J200),$C200-((H200-MIN(C$8,G200)))))</f>
        <v/>
      </c>
      <c r="L200" s="23">
        <f>ROUND(J200-K200,2)</f>
        <v/>
      </c>
      <c r="M200" s="23">
        <f>ROUND(O199*(1+E$7/12),2)</f>
        <v/>
      </c>
      <c r="N200" s="23">
        <f>MIN(E$8,M200)+MAX(0,MIN(M200-MIN(E$8,M200),$C200-((H200-MIN(C$8,G200))+(K200-MIN(D$8,J200)))))</f>
        <v/>
      </c>
      <c r="O200" s="23">
        <f>ROUND(M200-N200,2)</f>
        <v/>
      </c>
      <c r="P200" s="23">
        <f>ROUND(R199*(1+F$7/12),2)</f>
        <v/>
      </c>
      <c r="Q200" s="23">
        <f>MIN(F$8,P200)+MAX(0,MIN(P200-MIN(F$8,P200),$C200-((H200-MIN(C$8,G200))+(K200-MIN(D$8,J200))+(N200-MIN(E$8,M200)))))</f>
        <v/>
      </c>
      <c r="R200" s="23">
        <f>ROUND(P200-Q200,2)</f>
        <v/>
      </c>
      <c r="S200" s="23">
        <f>ROUND(U199*(1+G$7/12),2)</f>
        <v/>
      </c>
      <c r="T200" s="23">
        <f>MIN(G$8,S200)+MAX(0,MIN(S200-MIN(G$8,S200),$C200-((H200-MIN(C$8,G200))+(K200-MIN(D$8,J200))+(N200-MIN(E$8,M200))+(Q200-MIN(F$8,P200)))))</f>
        <v/>
      </c>
      <c r="U200" s="23">
        <f>ROUND(S200-T200,2)</f>
        <v/>
      </c>
    </row>
    <row r="201">
      <c r="A201" t="n">
        <v>190</v>
      </c>
      <c r="B201" s="22">
        <f>EDATE(Debts!$B$5,189)</f>
        <v/>
      </c>
      <c r="C201" s="23">
        <f>MAX(0,Debts!$B$6-(MIN(C$8,G201)+MIN(D$8,J201)+MIN(E$8,M201)+MIN(F$8,P201)+MIN(G$8,S201)))</f>
        <v/>
      </c>
      <c r="D201" s="23">
        <f>H201+K201+N201+Q201+T201</f>
        <v/>
      </c>
      <c r="E201" s="23">
        <f>I201+L201+O201+R201+U201</f>
        <v/>
      </c>
      <c r="F201" s="23" t="n"/>
      <c r="G201" s="23">
        <f>ROUND(I200*(1+C$7/12),2)</f>
        <v/>
      </c>
      <c r="H201" s="23">
        <f>MIN(C$8,G201)+MAX(0,MIN(G201-MIN(C$8,G201),$C201-(0)))</f>
        <v/>
      </c>
      <c r="I201" s="23">
        <f>ROUND(G201-H201,2)</f>
        <v/>
      </c>
      <c r="J201" s="23">
        <f>ROUND(L200*(1+D$7/12),2)</f>
        <v/>
      </c>
      <c r="K201" s="23">
        <f>MIN(D$8,J201)+MAX(0,MIN(J201-MIN(D$8,J201),$C201-((H201-MIN(C$8,G201)))))</f>
        <v/>
      </c>
      <c r="L201" s="23">
        <f>ROUND(J201-K201,2)</f>
        <v/>
      </c>
      <c r="M201" s="23">
        <f>ROUND(O200*(1+E$7/12),2)</f>
        <v/>
      </c>
      <c r="N201" s="23">
        <f>MIN(E$8,M201)+MAX(0,MIN(M201-MIN(E$8,M201),$C201-((H201-MIN(C$8,G201))+(K201-MIN(D$8,J201)))))</f>
        <v/>
      </c>
      <c r="O201" s="23">
        <f>ROUND(M201-N201,2)</f>
        <v/>
      </c>
      <c r="P201" s="23">
        <f>ROUND(R200*(1+F$7/12),2)</f>
        <v/>
      </c>
      <c r="Q201" s="23">
        <f>MIN(F$8,P201)+MAX(0,MIN(P201-MIN(F$8,P201),$C201-((H201-MIN(C$8,G201))+(K201-MIN(D$8,J201))+(N201-MIN(E$8,M201)))))</f>
        <v/>
      </c>
      <c r="R201" s="23">
        <f>ROUND(P201-Q201,2)</f>
        <v/>
      </c>
      <c r="S201" s="23">
        <f>ROUND(U200*(1+G$7/12),2)</f>
        <v/>
      </c>
      <c r="T201" s="23">
        <f>MIN(G$8,S201)+MAX(0,MIN(S201-MIN(G$8,S201),$C201-((H201-MIN(C$8,G201))+(K201-MIN(D$8,J201))+(N201-MIN(E$8,M201))+(Q201-MIN(F$8,P201)))))</f>
        <v/>
      </c>
      <c r="U201" s="23">
        <f>ROUND(S201-T201,2)</f>
        <v/>
      </c>
    </row>
    <row r="202">
      <c r="A202" t="n">
        <v>191</v>
      </c>
      <c r="B202" s="22">
        <f>EDATE(Debts!$B$5,190)</f>
        <v/>
      </c>
      <c r="C202" s="23">
        <f>MAX(0,Debts!$B$6-(MIN(C$8,G202)+MIN(D$8,J202)+MIN(E$8,M202)+MIN(F$8,P202)+MIN(G$8,S202)))</f>
        <v/>
      </c>
      <c r="D202" s="23">
        <f>H202+K202+N202+Q202+T202</f>
        <v/>
      </c>
      <c r="E202" s="23">
        <f>I202+L202+O202+R202+U202</f>
        <v/>
      </c>
      <c r="F202" s="23" t="n"/>
      <c r="G202" s="23">
        <f>ROUND(I201*(1+C$7/12),2)</f>
        <v/>
      </c>
      <c r="H202" s="23">
        <f>MIN(C$8,G202)+MAX(0,MIN(G202-MIN(C$8,G202),$C202-(0)))</f>
        <v/>
      </c>
      <c r="I202" s="23">
        <f>ROUND(G202-H202,2)</f>
        <v/>
      </c>
      <c r="J202" s="23">
        <f>ROUND(L201*(1+D$7/12),2)</f>
        <v/>
      </c>
      <c r="K202" s="23">
        <f>MIN(D$8,J202)+MAX(0,MIN(J202-MIN(D$8,J202),$C202-((H202-MIN(C$8,G202)))))</f>
        <v/>
      </c>
      <c r="L202" s="23">
        <f>ROUND(J202-K202,2)</f>
        <v/>
      </c>
      <c r="M202" s="23">
        <f>ROUND(O201*(1+E$7/12),2)</f>
        <v/>
      </c>
      <c r="N202" s="23">
        <f>MIN(E$8,M202)+MAX(0,MIN(M202-MIN(E$8,M202),$C202-((H202-MIN(C$8,G202))+(K202-MIN(D$8,J202)))))</f>
        <v/>
      </c>
      <c r="O202" s="23">
        <f>ROUND(M202-N202,2)</f>
        <v/>
      </c>
      <c r="P202" s="23">
        <f>ROUND(R201*(1+F$7/12),2)</f>
        <v/>
      </c>
      <c r="Q202" s="23">
        <f>MIN(F$8,P202)+MAX(0,MIN(P202-MIN(F$8,P202),$C202-((H202-MIN(C$8,G202))+(K202-MIN(D$8,J202))+(N202-MIN(E$8,M202)))))</f>
        <v/>
      </c>
      <c r="R202" s="23">
        <f>ROUND(P202-Q202,2)</f>
        <v/>
      </c>
      <c r="S202" s="23">
        <f>ROUND(U201*(1+G$7/12),2)</f>
        <v/>
      </c>
      <c r="T202" s="23">
        <f>MIN(G$8,S202)+MAX(0,MIN(S202-MIN(G$8,S202),$C202-((H202-MIN(C$8,G202))+(K202-MIN(D$8,J202))+(N202-MIN(E$8,M202))+(Q202-MIN(F$8,P202)))))</f>
        <v/>
      </c>
      <c r="U202" s="23">
        <f>ROUND(S202-T202,2)</f>
        <v/>
      </c>
    </row>
    <row r="203">
      <c r="A203" t="n">
        <v>192</v>
      </c>
      <c r="B203" s="22">
        <f>EDATE(Debts!$B$5,191)</f>
        <v/>
      </c>
      <c r="C203" s="23">
        <f>MAX(0,Debts!$B$6-(MIN(C$8,G203)+MIN(D$8,J203)+MIN(E$8,M203)+MIN(F$8,P203)+MIN(G$8,S203)))</f>
        <v/>
      </c>
      <c r="D203" s="23">
        <f>H203+K203+N203+Q203+T203</f>
        <v/>
      </c>
      <c r="E203" s="23">
        <f>I203+L203+O203+R203+U203</f>
        <v/>
      </c>
      <c r="F203" s="23" t="n"/>
      <c r="G203" s="23">
        <f>ROUND(I202*(1+C$7/12),2)</f>
        <v/>
      </c>
      <c r="H203" s="23">
        <f>MIN(C$8,G203)+MAX(0,MIN(G203-MIN(C$8,G203),$C203-(0)))</f>
        <v/>
      </c>
      <c r="I203" s="23">
        <f>ROUND(G203-H203,2)</f>
        <v/>
      </c>
      <c r="J203" s="23">
        <f>ROUND(L202*(1+D$7/12),2)</f>
        <v/>
      </c>
      <c r="K203" s="23">
        <f>MIN(D$8,J203)+MAX(0,MIN(J203-MIN(D$8,J203),$C203-((H203-MIN(C$8,G203)))))</f>
        <v/>
      </c>
      <c r="L203" s="23">
        <f>ROUND(J203-K203,2)</f>
        <v/>
      </c>
      <c r="M203" s="23">
        <f>ROUND(O202*(1+E$7/12),2)</f>
        <v/>
      </c>
      <c r="N203" s="23">
        <f>MIN(E$8,M203)+MAX(0,MIN(M203-MIN(E$8,M203),$C203-((H203-MIN(C$8,G203))+(K203-MIN(D$8,J203)))))</f>
        <v/>
      </c>
      <c r="O203" s="23">
        <f>ROUND(M203-N203,2)</f>
        <v/>
      </c>
      <c r="P203" s="23">
        <f>ROUND(R202*(1+F$7/12),2)</f>
        <v/>
      </c>
      <c r="Q203" s="23">
        <f>MIN(F$8,P203)+MAX(0,MIN(P203-MIN(F$8,P203),$C203-((H203-MIN(C$8,G203))+(K203-MIN(D$8,J203))+(N203-MIN(E$8,M203)))))</f>
        <v/>
      </c>
      <c r="R203" s="23">
        <f>ROUND(P203-Q203,2)</f>
        <v/>
      </c>
      <c r="S203" s="23">
        <f>ROUND(U202*(1+G$7/12),2)</f>
        <v/>
      </c>
      <c r="T203" s="23">
        <f>MIN(G$8,S203)+MAX(0,MIN(S203-MIN(G$8,S203),$C203-((H203-MIN(C$8,G203))+(K203-MIN(D$8,J203))+(N203-MIN(E$8,M203))+(Q203-MIN(F$8,P203)))))</f>
        <v/>
      </c>
      <c r="U203" s="23">
        <f>ROUND(S203-T203,2)</f>
        <v/>
      </c>
    </row>
    <row r="204">
      <c r="A204" t="n">
        <v>193</v>
      </c>
      <c r="B204" s="22">
        <f>EDATE(Debts!$B$5,192)</f>
        <v/>
      </c>
      <c r="C204" s="23">
        <f>MAX(0,Debts!$B$6-(MIN(C$8,G204)+MIN(D$8,J204)+MIN(E$8,M204)+MIN(F$8,P204)+MIN(G$8,S204)))</f>
        <v/>
      </c>
      <c r="D204" s="23">
        <f>H204+K204+N204+Q204+T204</f>
        <v/>
      </c>
      <c r="E204" s="23">
        <f>I204+L204+O204+R204+U204</f>
        <v/>
      </c>
      <c r="F204" s="23" t="n"/>
      <c r="G204" s="23">
        <f>ROUND(I203*(1+C$7/12),2)</f>
        <v/>
      </c>
      <c r="H204" s="23">
        <f>MIN(C$8,G204)+MAX(0,MIN(G204-MIN(C$8,G204),$C204-(0)))</f>
        <v/>
      </c>
      <c r="I204" s="23">
        <f>ROUND(G204-H204,2)</f>
        <v/>
      </c>
      <c r="J204" s="23">
        <f>ROUND(L203*(1+D$7/12),2)</f>
        <v/>
      </c>
      <c r="K204" s="23">
        <f>MIN(D$8,J204)+MAX(0,MIN(J204-MIN(D$8,J204),$C204-((H204-MIN(C$8,G204)))))</f>
        <v/>
      </c>
      <c r="L204" s="23">
        <f>ROUND(J204-K204,2)</f>
        <v/>
      </c>
      <c r="M204" s="23">
        <f>ROUND(O203*(1+E$7/12),2)</f>
        <v/>
      </c>
      <c r="N204" s="23">
        <f>MIN(E$8,M204)+MAX(0,MIN(M204-MIN(E$8,M204),$C204-((H204-MIN(C$8,G204))+(K204-MIN(D$8,J204)))))</f>
        <v/>
      </c>
      <c r="O204" s="23">
        <f>ROUND(M204-N204,2)</f>
        <v/>
      </c>
      <c r="P204" s="23">
        <f>ROUND(R203*(1+F$7/12),2)</f>
        <v/>
      </c>
      <c r="Q204" s="23">
        <f>MIN(F$8,P204)+MAX(0,MIN(P204-MIN(F$8,P204),$C204-((H204-MIN(C$8,G204))+(K204-MIN(D$8,J204))+(N204-MIN(E$8,M204)))))</f>
        <v/>
      </c>
      <c r="R204" s="23">
        <f>ROUND(P204-Q204,2)</f>
        <v/>
      </c>
      <c r="S204" s="23">
        <f>ROUND(U203*(1+G$7/12),2)</f>
        <v/>
      </c>
      <c r="T204" s="23">
        <f>MIN(G$8,S204)+MAX(0,MIN(S204-MIN(G$8,S204),$C204-((H204-MIN(C$8,G204))+(K204-MIN(D$8,J204))+(N204-MIN(E$8,M204))+(Q204-MIN(F$8,P204)))))</f>
        <v/>
      </c>
      <c r="U204" s="23">
        <f>ROUND(S204-T204,2)</f>
        <v/>
      </c>
    </row>
    <row r="205">
      <c r="A205" t="n">
        <v>194</v>
      </c>
      <c r="B205" s="22">
        <f>EDATE(Debts!$B$5,193)</f>
        <v/>
      </c>
      <c r="C205" s="23">
        <f>MAX(0,Debts!$B$6-(MIN(C$8,G205)+MIN(D$8,J205)+MIN(E$8,M205)+MIN(F$8,P205)+MIN(G$8,S205)))</f>
        <v/>
      </c>
      <c r="D205" s="23">
        <f>H205+K205+N205+Q205+T205</f>
        <v/>
      </c>
      <c r="E205" s="23">
        <f>I205+L205+O205+R205+U205</f>
        <v/>
      </c>
      <c r="F205" s="23" t="n"/>
      <c r="G205" s="23">
        <f>ROUND(I204*(1+C$7/12),2)</f>
        <v/>
      </c>
      <c r="H205" s="23">
        <f>MIN(C$8,G205)+MAX(0,MIN(G205-MIN(C$8,G205),$C205-(0)))</f>
        <v/>
      </c>
      <c r="I205" s="23">
        <f>ROUND(G205-H205,2)</f>
        <v/>
      </c>
      <c r="J205" s="23">
        <f>ROUND(L204*(1+D$7/12),2)</f>
        <v/>
      </c>
      <c r="K205" s="23">
        <f>MIN(D$8,J205)+MAX(0,MIN(J205-MIN(D$8,J205),$C205-((H205-MIN(C$8,G205)))))</f>
        <v/>
      </c>
      <c r="L205" s="23">
        <f>ROUND(J205-K205,2)</f>
        <v/>
      </c>
      <c r="M205" s="23">
        <f>ROUND(O204*(1+E$7/12),2)</f>
        <v/>
      </c>
      <c r="N205" s="23">
        <f>MIN(E$8,M205)+MAX(0,MIN(M205-MIN(E$8,M205),$C205-((H205-MIN(C$8,G205))+(K205-MIN(D$8,J205)))))</f>
        <v/>
      </c>
      <c r="O205" s="23">
        <f>ROUND(M205-N205,2)</f>
        <v/>
      </c>
      <c r="P205" s="23">
        <f>ROUND(R204*(1+F$7/12),2)</f>
        <v/>
      </c>
      <c r="Q205" s="23">
        <f>MIN(F$8,P205)+MAX(0,MIN(P205-MIN(F$8,P205),$C205-((H205-MIN(C$8,G205))+(K205-MIN(D$8,J205))+(N205-MIN(E$8,M205)))))</f>
        <v/>
      </c>
      <c r="R205" s="23">
        <f>ROUND(P205-Q205,2)</f>
        <v/>
      </c>
      <c r="S205" s="23">
        <f>ROUND(U204*(1+G$7/12),2)</f>
        <v/>
      </c>
      <c r="T205" s="23">
        <f>MIN(G$8,S205)+MAX(0,MIN(S205-MIN(G$8,S205),$C205-((H205-MIN(C$8,G205))+(K205-MIN(D$8,J205))+(N205-MIN(E$8,M205))+(Q205-MIN(F$8,P205)))))</f>
        <v/>
      </c>
      <c r="U205" s="23">
        <f>ROUND(S205-T205,2)</f>
        <v/>
      </c>
    </row>
    <row r="206">
      <c r="A206" t="n">
        <v>195</v>
      </c>
      <c r="B206" s="22">
        <f>EDATE(Debts!$B$5,194)</f>
        <v/>
      </c>
      <c r="C206" s="23">
        <f>MAX(0,Debts!$B$6-(MIN(C$8,G206)+MIN(D$8,J206)+MIN(E$8,M206)+MIN(F$8,P206)+MIN(G$8,S206)))</f>
        <v/>
      </c>
      <c r="D206" s="23">
        <f>H206+K206+N206+Q206+T206</f>
        <v/>
      </c>
      <c r="E206" s="23">
        <f>I206+L206+O206+R206+U206</f>
        <v/>
      </c>
      <c r="F206" s="23" t="n"/>
      <c r="G206" s="23">
        <f>ROUND(I205*(1+C$7/12),2)</f>
        <v/>
      </c>
      <c r="H206" s="23">
        <f>MIN(C$8,G206)+MAX(0,MIN(G206-MIN(C$8,G206),$C206-(0)))</f>
        <v/>
      </c>
      <c r="I206" s="23">
        <f>ROUND(G206-H206,2)</f>
        <v/>
      </c>
      <c r="J206" s="23">
        <f>ROUND(L205*(1+D$7/12),2)</f>
        <v/>
      </c>
      <c r="K206" s="23">
        <f>MIN(D$8,J206)+MAX(0,MIN(J206-MIN(D$8,J206),$C206-((H206-MIN(C$8,G206)))))</f>
        <v/>
      </c>
      <c r="L206" s="23">
        <f>ROUND(J206-K206,2)</f>
        <v/>
      </c>
      <c r="M206" s="23">
        <f>ROUND(O205*(1+E$7/12),2)</f>
        <v/>
      </c>
      <c r="N206" s="23">
        <f>MIN(E$8,M206)+MAX(0,MIN(M206-MIN(E$8,M206),$C206-((H206-MIN(C$8,G206))+(K206-MIN(D$8,J206)))))</f>
        <v/>
      </c>
      <c r="O206" s="23">
        <f>ROUND(M206-N206,2)</f>
        <v/>
      </c>
      <c r="P206" s="23">
        <f>ROUND(R205*(1+F$7/12),2)</f>
        <v/>
      </c>
      <c r="Q206" s="23">
        <f>MIN(F$8,P206)+MAX(0,MIN(P206-MIN(F$8,P206),$C206-((H206-MIN(C$8,G206))+(K206-MIN(D$8,J206))+(N206-MIN(E$8,M206)))))</f>
        <v/>
      </c>
      <c r="R206" s="23">
        <f>ROUND(P206-Q206,2)</f>
        <v/>
      </c>
      <c r="S206" s="23">
        <f>ROUND(U205*(1+G$7/12),2)</f>
        <v/>
      </c>
      <c r="T206" s="23">
        <f>MIN(G$8,S206)+MAX(0,MIN(S206-MIN(G$8,S206),$C206-((H206-MIN(C$8,G206))+(K206-MIN(D$8,J206))+(N206-MIN(E$8,M206))+(Q206-MIN(F$8,P206)))))</f>
        <v/>
      </c>
      <c r="U206" s="23">
        <f>ROUND(S206-T206,2)</f>
        <v/>
      </c>
    </row>
    <row r="207">
      <c r="A207" t="n">
        <v>196</v>
      </c>
      <c r="B207" s="22">
        <f>EDATE(Debts!$B$5,195)</f>
        <v/>
      </c>
      <c r="C207" s="23">
        <f>MAX(0,Debts!$B$6-(MIN(C$8,G207)+MIN(D$8,J207)+MIN(E$8,M207)+MIN(F$8,P207)+MIN(G$8,S207)))</f>
        <v/>
      </c>
      <c r="D207" s="23">
        <f>H207+K207+N207+Q207+T207</f>
        <v/>
      </c>
      <c r="E207" s="23">
        <f>I207+L207+O207+R207+U207</f>
        <v/>
      </c>
      <c r="F207" s="23" t="n"/>
      <c r="G207" s="23">
        <f>ROUND(I206*(1+C$7/12),2)</f>
        <v/>
      </c>
      <c r="H207" s="23">
        <f>MIN(C$8,G207)+MAX(0,MIN(G207-MIN(C$8,G207),$C207-(0)))</f>
        <v/>
      </c>
      <c r="I207" s="23">
        <f>ROUND(G207-H207,2)</f>
        <v/>
      </c>
      <c r="J207" s="23">
        <f>ROUND(L206*(1+D$7/12),2)</f>
        <v/>
      </c>
      <c r="K207" s="23">
        <f>MIN(D$8,J207)+MAX(0,MIN(J207-MIN(D$8,J207),$C207-((H207-MIN(C$8,G207)))))</f>
        <v/>
      </c>
      <c r="L207" s="23">
        <f>ROUND(J207-K207,2)</f>
        <v/>
      </c>
      <c r="M207" s="23">
        <f>ROUND(O206*(1+E$7/12),2)</f>
        <v/>
      </c>
      <c r="N207" s="23">
        <f>MIN(E$8,M207)+MAX(0,MIN(M207-MIN(E$8,M207),$C207-((H207-MIN(C$8,G207))+(K207-MIN(D$8,J207)))))</f>
        <v/>
      </c>
      <c r="O207" s="23">
        <f>ROUND(M207-N207,2)</f>
        <v/>
      </c>
      <c r="P207" s="23">
        <f>ROUND(R206*(1+F$7/12),2)</f>
        <v/>
      </c>
      <c r="Q207" s="23">
        <f>MIN(F$8,P207)+MAX(0,MIN(P207-MIN(F$8,P207),$C207-((H207-MIN(C$8,G207))+(K207-MIN(D$8,J207))+(N207-MIN(E$8,M207)))))</f>
        <v/>
      </c>
      <c r="R207" s="23">
        <f>ROUND(P207-Q207,2)</f>
        <v/>
      </c>
      <c r="S207" s="23">
        <f>ROUND(U206*(1+G$7/12),2)</f>
        <v/>
      </c>
      <c r="T207" s="23">
        <f>MIN(G$8,S207)+MAX(0,MIN(S207-MIN(G$8,S207),$C207-((H207-MIN(C$8,G207))+(K207-MIN(D$8,J207))+(N207-MIN(E$8,M207))+(Q207-MIN(F$8,P207)))))</f>
        <v/>
      </c>
      <c r="U207" s="23">
        <f>ROUND(S207-T207,2)</f>
        <v/>
      </c>
    </row>
    <row r="208">
      <c r="A208" t="n">
        <v>197</v>
      </c>
      <c r="B208" s="22">
        <f>EDATE(Debts!$B$5,196)</f>
        <v/>
      </c>
      <c r="C208" s="23">
        <f>MAX(0,Debts!$B$6-(MIN(C$8,G208)+MIN(D$8,J208)+MIN(E$8,M208)+MIN(F$8,P208)+MIN(G$8,S208)))</f>
        <v/>
      </c>
      <c r="D208" s="23">
        <f>H208+K208+N208+Q208+T208</f>
        <v/>
      </c>
      <c r="E208" s="23">
        <f>I208+L208+O208+R208+U208</f>
        <v/>
      </c>
      <c r="F208" s="23" t="n"/>
      <c r="G208" s="23">
        <f>ROUND(I207*(1+C$7/12),2)</f>
        <v/>
      </c>
      <c r="H208" s="23">
        <f>MIN(C$8,G208)+MAX(0,MIN(G208-MIN(C$8,G208),$C208-(0)))</f>
        <v/>
      </c>
      <c r="I208" s="23">
        <f>ROUND(G208-H208,2)</f>
        <v/>
      </c>
      <c r="J208" s="23">
        <f>ROUND(L207*(1+D$7/12),2)</f>
        <v/>
      </c>
      <c r="K208" s="23">
        <f>MIN(D$8,J208)+MAX(0,MIN(J208-MIN(D$8,J208),$C208-((H208-MIN(C$8,G208)))))</f>
        <v/>
      </c>
      <c r="L208" s="23">
        <f>ROUND(J208-K208,2)</f>
        <v/>
      </c>
      <c r="M208" s="23">
        <f>ROUND(O207*(1+E$7/12),2)</f>
        <v/>
      </c>
      <c r="N208" s="23">
        <f>MIN(E$8,M208)+MAX(0,MIN(M208-MIN(E$8,M208),$C208-((H208-MIN(C$8,G208))+(K208-MIN(D$8,J208)))))</f>
        <v/>
      </c>
      <c r="O208" s="23">
        <f>ROUND(M208-N208,2)</f>
        <v/>
      </c>
      <c r="P208" s="23">
        <f>ROUND(R207*(1+F$7/12),2)</f>
        <v/>
      </c>
      <c r="Q208" s="23">
        <f>MIN(F$8,P208)+MAX(0,MIN(P208-MIN(F$8,P208),$C208-((H208-MIN(C$8,G208))+(K208-MIN(D$8,J208))+(N208-MIN(E$8,M208)))))</f>
        <v/>
      </c>
      <c r="R208" s="23">
        <f>ROUND(P208-Q208,2)</f>
        <v/>
      </c>
      <c r="S208" s="23">
        <f>ROUND(U207*(1+G$7/12),2)</f>
        <v/>
      </c>
      <c r="T208" s="23">
        <f>MIN(G$8,S208)+MAX(0,MIN(S208-MIN(G$8,S208),$C208-((H208-MIN(C$8,G208))+(K208-MIN(D$8,J208))+(N208-MIN(E$8,M208))+(Q208-MIN(F$8,P208)))))</f>
        <v/>
      </c>
      <c r="U208" s="23">
        <f>ROUND(S208-T208,2)</f>
        <v/>
      </c>
    </row>
    <row r="209">
      <c r="A209" t="n">
        <v>198</v>
      </c>
      <c r="B209" s="22">
        <f>EDATE(Debts!$B$5,197)</f>
        <v/>
      </c>
      <c r="C209" s="23">
        <f>MAX(0,Debts!$B$6-(MIN(C$8,G209)+MIN(D$8,J209)+MIN(E$8,M209)+MIN(F$8,P209)+MIN(G$8,S209)))</f>
        <v/>
      </c>
      <c r="D209" s="23">
        <f>H209+K209+N209+Q209+T209</f>
        <v/>
      </c>
      <c r="E209" s="23">
        <f>I209+L209+O209+R209+U209</f>
        <v/>
      </c>
      <c r="F209" s="23" t="n"/>
      <c r="G209" s="23">
        <f>ROUND(I208*(1+C$7/12),2)</f>
        <v/>
      </c>
      <c r="H209" s="23">
        <f>MIN(C$8,G209)+MAX(0,MIN(G209-MIN(C$8,G209),$C209-(0)))</f>
        <v/>
      </c>
      <c r="I209" s="23">
        <f>ROUND(G209-H209,2)</f>
        <v/>
      </c>
      <c r="J209" s="23">
        <f>ROUND(L208*(1+D$7/12),2)</f>
        <v/>
      </c>
      <c r="K209" s="23">
        <f>MIN(D$8,J209)+MAX(0,MIN(J209-MIN(D$8,J209),$C209-((H209-MIN(C$8,G209)))))</f>
        <v/>
      </c>
      <c r="L209" s="23">
        <f>ROUND(J209-K209,2)</f>
        <v/>
      </c>
      <c r="M209" s="23">
        <f>ROUND(O208*(1+E$7/12),2)</f>
        <v/>
      </c>
      <c r="N209" s="23">
        <f>MIN(E$8,M209)+MAX(0,MIN(M209-MIN(E$8,M209),$C209-((H209-MIN(C$8,G209))+(K209-MIN(D$8,J209)))))</f>
        <v/>
      </c>
      <c r="O209" s="23">
        <f>ROUND(M209-N209,2)</f>
        <v/>
      </c>
      <c r="P209" s="23">
        <f>ROUND(R208*(1+F$7/12),2)</f>
        <v/>
      </c>
      <c r="Q209" s="23">
        <f>MIN(F$8,P209)+MAX(0,MIN(P209-MIN(F$8,P209),$C209-((H209-MIN(C$8,G209))+(K209-MIN(D$8,J209))+(N209-MIN(E$8,M209)))))</f>
        <v/>
      </c>
      <c r="R209" s="23">
        <f>ROUND(P209-Q209,2)</f>
        <v/>
      </c>
      <c r="S209" s="23">
        <f>ROUND(U208*(1+G$7/12),2)</f>
        <v/>
      </c>
      <c r="T209" s="23">
        <f>MIN(G$8,S209)+MAX(0,MIN(S209-MIN(G$8,S209),$C209-((H209-MIN(C$8,G209))+(K209-MIN(D$8,J209))+(N209-MIN(E$8,M209))+(Q209-MIN(F$8,P209)))))</f>
        <v/>
      </c>
      <c r="U209" s="23">
        <f>ROUND(S209-T209,2)</f>
        <v/>
      </c>
    </row>
    <row r="210">
      <c r="A210" t="n">
        <v>199</v>
      </c>
      <c r="B210" s="22">
        <f>EDATE(Debts!$B$5,198)</f>
        <v/>
      </c>
      <c r="C210" s="23">
        <f>MAX(0,Debts!$B$6-(MIN(C$8,G210)+MIN(D$8,J210)+MIN(E$8,M210)+MIN(F$8,P210)+MIN(G$8,S210)))</f>
        <v/>
      </c>
      <c r="D210" s="23">
        <f>H210+K210+N210+Q210+T210</f>
        <v/>
      </c>
      <c r="E210" s="23">
        <f>I210+L210+O210+R210+U210</f>
        <v/>
      </c>
      <c r="F210" s="23" t="n"/>
      <c r="G210" s="23">
        <f>ROUND(I209*(1+C$7/12),2)</f>
        <v/>
      </c>
      <c r="H210" s="23">
        <f>MIN(C$8,G210)+MAX(0,MIN(G210-MIN(C$8,G210),$C210-(0)))</f>
        <v/>
      </c>
      <c r="I210" s="23">
        <f>ROUND(G210-H210,2)</f>
        <v/>
      </c>
      <c r="J210" s="23">
        <f>ROUND(L209*(1+D$7/12),2)</f>
        <v/>
      </c>
      <c r="K210" s="23">
        <f>MIN(D$8,J210)+MAX(0,MIN(J210-MIN(D$8,J210),$C210-((H210-MIN(C$8,G210)))))</f>
        <v/>
      </c>
      <c r="L210" s="23">
        <f>ROUND(J210-K210,2)</f>
        <v/>
      </c>
      <c r="M210" s="23">
        <f>ROUND(O209*(1+E$7/12),2)</f>
        <v/>
      </c>
      <c r="N210" s="23">
        <f>MIN(E$8,M210)+MAX(0,MIN(M210-MIN(E$8,M210),$C210-((H210-MIN(C$8,G210))+(K210-MIN(D$8,J210)))))</f>
        <v/>
      </c>
      <c r="O210" s="23">
        <f>ROUND(M210-N210,2)</f>
        <v/>
      </c>
      <c r="P210" s="23">
        <f>ROUND(R209*(1+F$7/12),2)</f>
        <v/>
      </c>
      <c r="Q210" s="23">
        <f>MIN(F$8,P210)+MAX(0,MIN(P210-MIN(F$8,P210),$C210-((H210-MIN(C$8,G210))+(K210-MIN(D$8,J210))+(N210-MIN(E$8,M210)))))</f>
        <v/>
      </c>
      <c r="R210" s="23">
        <f>ROUND(P210-Q210,2)</f>
        <v/>
      </c>
      <c r="S210" s="23">
        <f>ROUND(U209*(1+G$7/12),2)</f>
        <v/>
      </c>
      <c r="T210" s="23">
        <f>MIN(G$8,S210)+MAX(0,MIN(S210-MIN(G$8,S210),$C210-((H210-MIN(C$8,G210))+(K210-MIN(D$8,J210))+(N210-MIN(E$8,M210))+(Q210-MIN(F$8,P210)))))</f>
        <v/>
      </c>
      <c r="U210" s="23">
        <f>ROUND(S210-T210,2)</f>
        <v/>
      </c>
    </row>
    <row r="211">
      <c r="A211" t="n">
        <v>200</v>
      </c>
      <c r="B211" s="22">
        <f>EDATE(Debts!$B$5,199)</f>
        <v/>
      </c>
      <c r="C211" s="23">
        <f>MAX(0,Debts!$B$6-(MIN(C$8,G211)+MIN(D$8,J211)+MIN(E$8,M211)+MIN(F$8,P211)+MIN(G$8,S211)))</f>
        <v/>
      </c>
      <c r="D211" s="23">
        <f>H211+K211+N211+Q211+T211</f>
        <v/>
      </c>
      <c r="E211" s="23">
        <f>I211+L211+O211+R211+U211</f>
        <v/>
      </c>
      <c r="F211" s="23" t="n"/>
      <c r="G211" s="23">
        <f>ROUND(I210*(1+C$7/12),2)</f>
        <v/>
      </c>
      <c r="H211" s="23">
        <f>MIN(C$8,G211)+MAX(0,MIN(G211-MIN(C$8,G211),$C211-(0)))</f>
        <v/>
      </c>
      <c r="I211" s="23">
        <f>ROUND(G211-H211,2)</f>
        <v/>
      </c>
      <c r="J211" s="23">
        <f>ROUND(L210*(1+D$7/12),2)</f>
        <v/>
      </c>
      <c r="K211" s="23">
        <f>MIN(D$8,J211)+MAX(0,MIN(J211-MIN(D$8,J211),$C211-((H211-MIN(C$8,G211)))))</f>
        <v/>
      </c>
      <c r="L211" s="23">
        <f>ROUND(J211-K211,2)</f>
        <v/>
      </c>
      <c r="M211" s="23">
        <f>ROUND(O210*(1+E$7/12),2)</f>
        <v/>
      </c>
      <c r="N211" s="23">
        <f>MIN(E$8,M211)+MAX(0,MIN(M211-MIN(E$8,M211),$C211-((H211-MIN(C$8,G211))+(K211-MIN(D$8,J211)))))</f>
        <v/>
      </c>
      <c r="O211" s="23">
        <f>ROUND(M211-N211,2)</f>
        <v/>
      </c>
      <c r="P211" s="23">
        <f>ROUND(R210*(1+F$7/12),2)</f>
        <v/>
      </c>
      <c r="Q211" s="23">
        <f>MIN(F$8,P211)+MAX(0,MIN(P211-MIN(F$8,P211),$C211-((H211-MIN(C$8,G211))+(K211-MIN(D$8,J211))+(N211-MIN(E$8,M211)))))</f>
        <v/>
      </c>
      <c r="R211" s="23">
        <f>ROUND(P211-Q211,2)</f>
        <v/>
      </c>
      <c r="S211" s="23">
        <f>ROUND(U210*(1+G$7/12),2)</f>
        <v/>
      </c>
      <c r="T211" s="23">
        <f>MIN(G$8,S211)+MAX(0,MIN(S211-MIN(G$8,S211),$C211-((H211-MIN(C$8,G211))+(K211-MIN(D$8,J211))+(N211-MIN(E$8,M211))+(Q211-MIN(F$8,P211)))))</f>
        <v/>
      </c>
      <c r="U211" s="23">
        <f>ROUND(S211-T211,2)</f>
        <v/>
      </c>
    </row>
    <row r="212">
      <c r="A212" t="n">
        <v>201</v>
      </c>
      <c r="B212" s="22">
        <f>EDATE(Debts!$B$5,200)</f>
        <v/>
      </c>
      <c r="C212" s="23">
        <f>MAX(0,Debts!$B$6-(MIN(C$8,G212)+MIN(D$8,J212)+MIN(E$8,M212)+MIN(F$8,P212)+MIN(G$8,S212)))</f>
        <v/>
      </c>
      <c r="D212" s="23">
        <f>H212+K212+N212+Q212+T212</f>
        <v/>
      </c>
      <c r="E212" s="23">
        <f>I212+L212+O212+R212+U212</f>
        <v/>
      </c>
      <c r="F212" s="23" t="n"/>
      <c r="G212" s="23">
        <f>ROUND(I211*(1+C$7/12),2)</f>
        <v/>
      </c>
      <c r="H212" s="23">
        <f>MIN(C$8,G212)+MAX(0,MIN(G212-MIN(C$8,G212),$C212-(0)))</f>
        <v/>
      </c>
      <c r="I212" s="23">
        <f>ROUND(G212-H212,2)</f>
        <v/>
      </c>
      <c r="J212" s="23">
        <f>ROUND(L211*(1+D$7/12),2)</f>
        <v/>
      </c>
      <c r="K212" s="23">
        <f>MIN(D$8,J212)+MAX(0,MIN(J212-MIN(D$8,J212),$C212-((H212-MIN(C$8,G212)))))</f>
        <v/>
      </c>
      <c r="L212" s="23">
        <f>ROUND(J212-K212,2)</f>
        <v/>
      </c>
      <c r="M212" s="23">
        <f>ROUND(O211*(1+E$7/12),2)</f>
        <v/>
      </c>
      <c r="N212" s="23">
        <f>MIN(E$8,M212)+MAX(0,MIN(M212-MIN(E$8,M212),$C212-((H212-MIN(C$8,G212))+(K212-MIN(D$8,J212)))))</f>
        <v/>
      </c>
      <c r="O212" s="23">
        <f>ROUND(M212-N212,2)</f>
        <v/>
      </c>
      <c r="P212" s="23">
        <f>ROUND(R211*(1+F$7/12),2)</f>
        <v/>
      </c>
      <c r="Q212" s="23">
        <f>MIN(F$8,P212)+MAX(0,MIN(P212-MIN(F$8,P212),$C212-((H212-MIN(C$8,G212))+(K212-MIN(D$8,J212))+(N212-MIN(E$8,M212)))))</f>
        <v/>
      </c>
      <c r="R212" s="23">
        <f>ROUND(P212-Q212,2)</f>
        <v/>
      </c>
      <c r="S212" s="23">
        <f>ROUND(U211*(1+G$7/12),2)</f>
        <v/>
      </c>
      <c r="T212" s="23">
        <f>MIN(G$8,S212)+MAX(0,MIN(S212-MIN(G$8,S212),$C212-((H212-MIN(C$8,G212))+(K212-MIN(D$8,J212))+(N212-MIN(E$8,M212))+(Q212-MIN(F$8,P212)))))</f>
        <v/>
      </c>
      <c r="U212" s="23">
        <f>ROUND(S212-T212,2)</f>
        <v/>
      </c>
    </row>
    <row r="213">
      <c r="A213" t="n">
        <v>202</v>
      </c>
      <c r="B213" s="22">
        <f>EDATE(Debts!$B$5,201)</f>
        <v/>
      </c>
      <c r="C213" s="23">
        <f>MAX(0,Debts!$B$6-(MIN(C$8,G213)+MIN(D$8,J213)+MIN(E$8,M213)+MIN(F$8,P213)+MIN(G$8,S213)))</f>
        <v/>
      </c>
      <c r="D213" s="23">
        <f>H213+K213+N213+Q213+T213</f>
        <v/>
      </c>
      <c r="E213" s="23">
        <f>I213+L213+O213+R213+U213</f>
        <v/>
      </c>
      <c r="F213" s="23" t="n"/>
      <c r="G213" s="23">
        <f>ROUND(I212*(1+C$7/12),2)</f>
        <v/>
      </c>
      <c r="H213" s="23">
        <f>MIN(C$8,G213)+MAX(0,MIN(G213-MIN(C$8,G213),$C213-(0)))</f>
        <v/>
      </c>
      <c r="I213" s="23">
        <f>ROUND(G213-H213,2)</f>
        <v/>
      </c>
      <c r="J213" s="23">
        <f>ROUND(L212*(1+D$7/12),2)</f>
        <v/>
      </c>
      <c r="K213" s="23">
        <f>MIN(D$8,J213)+MAX(0,MIN(J213-MIN(D$8,J213),$C213-((H213-MIN(C$8,G213)))))</f>
        <v/>
      </c>
      <c r="L213" s="23">
        <f>ROUND(J213-K213,2)</f>
        <v/>
      </c>
      <c r="M213" s="23">
        <f>ROUND(O212*(1+E$7/12),2)</f>
        <v/>
      </c>
      <c r="N213" s="23">
        <f>MIN(E$8,M213)+MAX(0,MIN(M213-MIN(E$8,M213),$C213-((H213-MIN(C$8,G213))+(K213-MIN(D$8,J213)))))</f>
        <v/>
      </c>
      <c r="O213" s="23">
        <f>ROUND(M213-N213,2)</f>
        <v/>
      </c>
      <c r="P213" s="23">
        <f>ROUND(R212*(1+F$7/12),2)</f>
        <v/>
      </c>
      <c r="Q213" s="23">
        <f>MIN(F$8,P213)+MAX(0,MIN(P213-MIN(F$8,P213),$C213-((H213-MIN(C$8,G213))+(K213-MIN(D$8,J213))+(N213-MIN(E$8,M213)))))</f>
        <v/>
      </c>
      <c r="R213" s="23">
        <f>ROUND(P213-Q213,2)</f>
        <v/>
      </c>
      <c r="S213" s="23">
        <f>ROUND(U212*(1+G$7/12),2)</f>
        <v/>
      </c>
      <c r="T213" s="23">
        <f>MIN(G$8,S213)+MAX(0,MIN(S213-MIN(G$8,S213),$C213-((H213-MIN(C$8,G213))+(K213-MIN(D$8,J213))+(N213-MIN(E$8,M213))+(Q213-MIN(F$8,P213)))))</f>
        <v/>
      </c>
      <c r="U213" s="23">
        <f>ROUND(S213-T213,2)</f>
        <v/>
      </c>
    </row>
    <row r="214">
      <c r="A214" t="n">
        <v>203</v>
      </c>
      <c r="B214" s="22">
        <f>EDATE(Debts!$B$5,202)</f>
        <v/>
      </c>
      <c r="C214" s="23">
        <f>MAX(0,Debts!$B$6-(MIN(C$8,G214)+MIN(D$8,J214)+MIN(E$8,M214)+MIN(F$8,P214)+MIN(G$8,S214)))</f>
        <v/>
      </c>
      <c r="D214" s="23">
        <f>H214+K214+N214+Q214+T214</f>
        <v/>
      </c>
      <c r="E214" s="23">
        <f>I214+L214+O214+R214+U214</f>
        <v/>
      </c>
      <c r="F214" s="23" t="n"/>
      <c r="G214" s="23">
        <f>ROUND(I213*(1+C$7/12),2)</f>
        <v/>
      </c>
      <c r="H214" s="23">
        <f>MIN(C$8,G214)+MAX(0,MIN(G214-MIN(C$8,G214),$C214-(0)))</f>
        <v/>
      </c>
      <c r="I214" s="23">
        <f>ROUND(G214-H214,2)</f>
        <v/>
      </c>
      <c r="J214" s="23">
        <f>ROUND(L213*(1+D$7/12),2)</f>
        <v/>
      </c>
      <c r="K214" s="23">
        <f>MIN(D$8,J214)+MAX(0,MIN(J214-MIN(D$8,J214),$C214-((H214-MIN(C$8,G214)))))</f>
        <v/>
      </c>
      <c r="L214" s="23">
        <f>ROUND(J214-K214,2)</f>
        <v/>
      </c>
      <c r="M214" s="23">
        <f>ROUND(O213*(1+E$7/12),2)</f>
        <v/>
      </c>
      <c r="N214" s="23">
        <f>MIN(E$8,M214)+MAX(0,MIN(M214-MIN(E$8,M214),$C214-((H214-MIN(C$8,G214))+(K214-MIN(D$8,J214)))))</f>
        <v/>
      </c>
      <c r="O214" s="23">
        <f>ROUND(M214-N214,2)</f>
        <v/>
      </c>
      <c r="P214" s="23">
        <f>ROUND(R213*(1+F$7/12),2)</f>
        <v/>
      </c>
      <c r="Q214" s="23">
        <f>MIN(F$8,P214)+MAX(0,MIN(P214-MIN(F$8,P214),$C214-((H214-MIN(C$8,G214))+(K214-MIN(D$8,J214))+(N214-MIN(E$8,M214)))))</f>
        <v/>
      </c>
      <c r="R214" s="23">
        <f>ROUND(P214-Q214,2)</f>
        <v/>
      </c>
      <c r="S214" s="23">
        <f>ROUND(U213*(1+G$7/12),2)</f>
        <v/>
      </c>
      <c r="T214" s="23">
        <f>MIN(G$8,S214)+MAX(0,MIN(S214-MIN(G$8,S214),$C214-((H214-MIN(C$8,G214))+(K214-MIN(D$8,J214))+(N214-MIN(E$8,M214))+(Q214-MIN(F$8,P214)))))</f>
        <v/>
      </c>
      <c r="U214" s="23">
        <f>ROUND(S214-T214,2)</f>
        <v/>
      </c>
    </row>
    <row r="215">
      <c r="A215" t="n">
        <v>204</v>
      </c>
      <c r="B215" s="22">
        <f>EDATE(Debts!$B$5,203)</f>
        <v/>
      </c>
      <c r="C215" s="23">
        <f>MAX(0,Debts!$B$6-(MIN(C$8,G215)+MIN(D$8,J215)+MIN(E$8,M215)+MIN(F$8,P215)+MIN(G$8,S215)))</f>
        <v/>
      </c>
      <c r="D215" s="23">
        <f>H215+K215+N215+Q215+T215</f>
        <v/>
      </c>
      <c r="E215" s="23">
        <f>I215+L215+O215+R215+U215</f>
        <v/>
      </c>
      <c r="F215" s="23" t="n"/>
      <c r="G215" s="23">
        <f>ROUND(I214*(1+C$7/12),2)</f>
        <v/>
      </c>
      <c r="H215" s="23">
        <f>MIN(C$8,G215)+MAX(0,MIN(G215-MIN(C$8,G215),$C215-(0)))</f>
        <v/>
      </c>
      <c r="I215" s="23">
        <f>ROUND(G215-H215,2)</f>
        <v/>
      </c>
      <c r="J215" s="23">
        <f>ROUND(L214*(1+D$7/12),2)</f>
        <v/>
      </c>
      <c r="K215" s="23">
        <f>MIN(D$8,J215)+MAX(0,MIN(J215-MIN(D$8,J215),$C215-((H215-MIN(C$8,G215)))))</f>
        <v/>
      </c>
      <c r="L215" s="23">
        <f>ROUND(J215-K215,2)</f>
        <v/>
      </c>
      <c r="M215" s="23">
        <f>ROUND(O214*(1+E$7/12),2)</f>
        <v/>
      </c>
      <c r="N215" s="23">
        <f>MIN(E$8,M215)+MAX(0,MIN(M215-MIN(E$8,M215),$C215-((H215-MIN(C$8,G215))+(K215-MIN(D$8,J215)))))</f>
        <v/>
      </c>
      <c r="O215" s="23">
        <f>ROUND(M215-N215,2)</f>
        <v/>
      </c>
      <c r="P215" s="23">
        <f>ROUND(R214*(1+F$7/12),2)</f>
        <v/>
      </c>
      <c r="Q215" s="23">
        <f>MIN(F$8,P215)+MAX(0,MIN(P215-MIN(F$8,P215),$C215-((H215-MIN(C$8,G215))+(K215-MIN(D$8,J215))+(N215-MIN(E$8,M215)))))</f>
        <v/>
      </c>
      <c r="R215" s="23">
        <f>ROUND(P215-Q215,2)</f>
        <v/>
      </c>
      <c r="S215" s="23">
        <f>ROUND(U214*(1+G$7/12),2)</f>
        <v/>
      </c>
      <c r="T215" s="23">
        <f>MIN(G$8,S215)+MAX(0,MIN(S215-MIN(G$8,S215),$C215-((H215-MIN(C$8,G215))+(K215-MIN(D$8,J215))+(N215-MIN(E$8,M215))+(Q215-MIN(F$8,P215)))))</f>
        <v/>
      </c>
      <c r="U215" s="23">
        <f>ROUND(S215-T215,2)</f>
        <v/>
      </c>
    </row>
    <row r="216">
      <c r="A216" t="n">
        <v>205</v>
      </c>
      <c r="B216" s="22">
        <f>EDATE(Debts!$B$5,204)</f>
        <v/>
      </c>
      <c r="C216" s="23">
        <f>MAX(0,Debts!$B$6-(MIN(C$8,G216)+MIN(D$8,J216)+MIN(E$8,M216)+MIN(F$8,P216)+MIN(G$8,S216)))</f>
        <v/>
      </c>
      <c r="D216" s="23">
        <f>H216+K216+N216+Q216+T216</f>
        <v/>
      </c>
      <c r="E216" s="23">
        <f>I216+L216+O216+R216+U216</f>
        <v/>
      </c>
      <c r="F216" s="23" t="n"/>
      <c r="G216" s="23">
        <f>ROUND(I215*(1+C$7/12),2)</f>
        <v/>
      </c>
      <c r="H216" s="23">
        <f>MIN(C$8,G216)+MAX(0,MIN(G216-MIN(C$8,G216),$C216-(0)))</f>
        <v/>
      </c>
      <c r="I216" s="23">
        <f>ROUND(G216-H216,2)</f>
        <v/>
      </c>
      <c r="J216" s="23">
        <f>ROUND(L215*(1+D$7/12),2)</f>
        <v/>
      </c>
      <c r="K216" s="23">
        <f>MIN(D$8,J216)+MAX(0,MIN(J216-MIN(D$8,J216),$C216-((H216-MIN(C$8,G216)))))</f>
        <v/>
      </c>
      <c r="L216" s="23">
        <f>ROUND(J216-K216,2)</f>
        <v/>
      </c>
      <c r="M216" s="23">
        <f>ROUND(O215*(1+E$7/12),2)</f>
        <v/>
      </c>
      <c r="N216" s="23">
        <f>MIN(E$8,M216)+MAX(0,MIN(M216-MIN(E$8,M216),$C216-((H216-MIN(C$8,G216))+(K216-MIN(D$8,J216)))))</f>
        <v/>
      </c>
      <c r="O216" s="23">
        <f>ROUND(M216-N216,2)</f>
        <v/>
      </c>
      <c r="P216" s="23">
        <f>ROUND(R215*(1+F$7/12),2)</f>
        <v/>
      </c>
      <c r="Q216" s="23">
        <f>MIN(F$8,P216)+MAX(0,MIN(P216-MIN(F$8,P216),$C216-((H216-MIN(C$8,G216))+(K216-MIN(D$8,J216))+(N216-MIN(E$8,M216)))))</f>
        <v/>
      </c>
      <c r="R216" s="23">
        <f>ROUND(P216-Q216,2)</f>
        <v/>
      </c>
      <c r="S216" s="23">
        <f>ROUND(U215*(1+G$7/12),2)</f>
        <v/>
      </c>
      <c r="T216" s="23">
        <f>MIN(G$8,S216)+MAX(0,MIN(S216-MIN(G$8,S216),$C216-((H216-MIN(C$8,G216))+(K216-MIN(D$8,J216))+(N216-MIN(E$8,M216))+(Q216-MIN(F$8,P216)))))</f>
        <v/>
      </c>
      <c r="U216" s="23">
        <f>ROUND(S216-T216,2)</f>
        <v/>
      </c>
    </row>
    <row r="217">
      <c r="A217" t="n">
        <v>206</v>
      </c>
      <c r="B217" s="22">
        <f>EDATE(Debts!$B$5,205)</f>
        <v/>
      </c>
      <c r="C217" s="23">
        <f>MAX(0,Debts!$B$6-(MIN(C$8,G217)+MIN(D$8,J217)+MIN(E$8,M217)+MIN(F$8,P217)+MIN(G$8,S217)))</f>
        <v/>
      </c>
      <c r="D217" s="23">
        <f>H217+K217+N217+Q217+T217</f>
        <v/>
      </c>
      <c r="E217" s="23">
        <f>I217+L217+O217+R217+U217</f>
        <v/>
      </c>
      <c r="F217" s="23" t="n"/>
      <c r="G217" s="23">
        <f>ROUND(I216*(1+C$7/12),2)</f>
        <v/>
      </c>
      <c r="H217" s="23">
        <f>MIN(C$8,G217)+MAX(0,MIN(G217-MIN(C$8,G217),$C217-(0)))</f>
        <v/>
      </c>
      <c r="I217" s="23">
        <f>ROUND(G217-H217,2)</f>
        <v/>
      </c>
      <c r="J217" s="23">
        <f>ROUND(L216*(1+D$7/12),2)</f>
        <v/>
      </c>
      <c r="K217" s="23">
        <f>MIN(D$8,J217)+MAX(0,MIN(J217-MIN(D$8,J217),$C217-((H217-MIN(C$8,G217)))))</f>
        <v/>
      </c>
      <c r="L217" s="23">
        <f>ROUND(J217-K217,2)</f>
        <v/>
      </c>
      <c r="M217" s="23">
        <f>ROUND(O216*(1+E$7/12),2)</f>
        <v/>
      </c>
      <c r="N217" s="23">
        <f>MIN(E$8,M217)+MAX(0,MIN(M217-MIN(E$8,M217),$C217-((H217-MIN(C$8,G217))+(K217-MIN(D$8,J217)))))</f>
        <v/>
      </c>
      <c r="O217" s="23">
        <f>ROUND(M217-N217,2)</f>
        <v/>
      </c>
      <c r="P217" s="23">
        <f>ROUND(R216*(1+F$7/12),2)</f>
        <v/>
      </c>
      <c r="Q217" s="23">
        <f>MIN(F$8,P217)+MAX(0,MIN(P217-MIN(F$8,P217),$C217-((H217-MIN(C$8,G217))+(K217-MIN(D$8,J217))+(N217-MIN(E$8,M217)))))</f>
        <v/>
      </c>
      <c r="R217" s="23">
        <f>ROUND(P217-Q217,2)</f>
        <v/>
      </c>
      <c r="S217" s="23">
        <f>ROUND(U216*(1+G$7/12),2)</f>
        <v/>
      </c>
      <c r="T217" s="23">
        <f>MIN(G$8,S217)+MAX(0,MIN(S217-MIN(G$8,S217),$C217-((H217-MIN(C$8,G217))+(K217-MIN(D$8,J217))+(N217-MIN(E$8,M217))+(Q217-MIN(F$8,P217)))))</f>
        <v/>
      </c>
      <c r="U217" s="23">
        <f>ROUND(S217-T217,2)</f>
        <v/>
      </c>
    </row>
    <row r="218">
      <c r="A218" t="n">
        <v>207</v>
      </c>
      <c r="B218" s="22">
        <f>EDATE(Debts!$B$5,206)</f>
        <v/>
      </c>
      <c r="C218" s="23">
        <f>MAX(0,Debts!$B$6-(MIN(C$8,G218)+MIN(D$8,J218)+MIN(E$8,M218)+MIN(F$8,P218)+MIN(G$8,S218)))</f>
        <v/>
      </c>
      <c r="D218" s="23">
        <f>H218+K218+N218+Q218+T218</f>
        <v/>
      </c>
      <c r="E218" s="23">
        <f>I218+L218+O218+R218+U218</f>
        <v/>
      </c>
      <c r="F218" s="23" t="n"/>
      <c r="G218" s="23">
        <f>ROUND(I217*(1+C$7/12),2)</f>
        <v/>
      </c>
      <c r="H218" s="23">
        <f>MIN(C$8,G218)+MAX(0,MIN(G218-MIN(C$8,G218),$C218-(0)))</f>
        <v/>
      </c>
      <c r="I218" s="23">
        <f>ROUND(G218-H218,2)</f>
        <v/>
      </c>
      <c r="J218" s="23">
        <f>ROUND(L217*(1+D$7/12),2)</f>
        <v/>
      </c>
      <c r="K218" s="23">
        <f>MIN(D$8,J218)+MAX(0,MIN(J218-MIN(D$8,J218),$C218-((H218-MIN(C$8,G218)))))</f>
        <v/>
      </c>
      <c r="L218" s="23">
        <f>ROUND(J218-K218,2)</f>
        <v/>
      </c>
      <c r="M218" s="23">
        <f>ROUND(O217*(1+E$7/12),2)</f>
        <v/>
      </c>
      <c r="N218" s="23">
        <f>MIN(E$8,M218)+MAX(0,MIN(M218-MIN(E$8,M218),$C218-((H218-MIN(C$8,G218))+(K218-MIN(D$8,J218)))))</f>
        <v/>
      </c>
      <c r="O218" s="23">
        <f>ROUND(M218-N218,2)</f>
        <v/>
      </c>
      <c r="P218" s="23">
        <f>ROUND(R217*(1+F$7/12),2)</f>
        <v/>
      </c>
      <c r="Q218" s="23">
        <f>MIN(F$8,P218)+MAX(0,MIN(P218-MIN(F$8,P218),$C218-((H218-MIN(C$8,G218))+(K218-MIN(D$8,J218))+(N218-MIN(E$8,M218)))))</f>
        <v/>
      </c>
      <c r="R218" s="23">
        <f>ROUND(P218-Q218,2)</f>
        <v/>
      </c>
      <c r="S218" s="23">
        <f>ROUND(U217*(1+G$7/12),2)</f>
        <v/>
      </c>
      <c r="T218" s="23">
        <f>MIN(G$8,S218)+MAX(0,MIN(S218-MIN(G$8,S218),$C218-((H218-MIN(C$8,G218))+(K218-MIN(D$8,J218))+(N218-MIN(E$8,M218))+(Q218-MIN(F$8,P218)))))</f>
        <v/>
      </c>
      <c r="U218" s="23">
        <f>ROUND(S218-T218,2)</f>
        <v/>
      </c>
    </row>
    <row r="219">
      <c r="A219" t="n">
        <v>208</v>
      </c>
      <c r="B219" s="22">
        <f>EDATE(Debts!$B$5,207)</f>
        <v/>
      </c>
      <c r="C219" s="23">
        <f>MAX(0,Debts!$B$6-(MIN(C$8,G219)+MIN(D$8,J219)+MIN(E$8,M219)+MIN(F$8,P219)+MIN(G$8,S219)))</f>
        <v/>
      </c>
      <c r="D219" s="23">
        <f>H219+K219+N219+Q219+T219</f>
        <v/>
      </c>
      <c r="E219" s="23">
        <f>I219+L219+O219+R219+U219</f>
        <v/>
      </c>
      <c r="F219" s="23" t="n"/>
      <c r="G219" s="23">
        <f>ROUND(I218*(1+C$7/12),2)</f>
        <v/>
      </c>
      <c r="H219" s="23">
        <f>MIN(C$8,G219)+MAX(0,MIN(G219-MIN(C$8,G219),$C219-(0)))</f>
        <v/>
      </c>
      <c r="I219" s="23">
        <f>ROUND(G219-H219,2)</f>
        <v/>
      </c>
      <c r="J219" s="23">
        <f>ROUND(L218*(1+D$7/12),2)</f>
        <v/>
      </c>
      <c r="K219" s="23">
        <f>MIN(D$8,J219)+MAX(0,MIN(J219-MIN(D$8,J219),$C219-((H219-MIN(C$8,G219)))))</f>
        <v/>
      </c>
      <c r="L219" s="23">
        <f>ROUND(J219-K219,2)</f>
        <v/>
      </c>
      <c r="M219" s="23">
        <f>ROUND(O218*(1+E$7/12),2)</f>
        <v/>
      </c>
      <c r="N219" s="23">
        <f>MIN(E$8,M219)+MAX(0,MIN(M219-MIN(E$8,M219),$C219-((H219-MIN(C$8,G219))+(K219-MIN(D$8,J219)))))</f>
        <v/>
      </c>
      <c r="O219" s="23">
        <f>ROUND(M219-N219,2)</f>
        <v/>
      </c>
      <c r="P219" s="23">
        <f>ROUND(R218*(1+F$7/12),2)</f>
        <v/>
      </c>
      <c r="Q219" s="23">
        <f>MIN(F$8,P219)+MAX(0,MIN(P219-MIN(F$8,P219),$C219-((H219-MIN(C$8,G219))+(K219-MIN(D$8,J219))+(N219-MIN(E$8,M219)))))</f>
        <v/>
      </c>
      <c r="R219" s="23">
        <f>ROUND(P219-Q219,2)</f>
        <v/>
      </c>
      <c r="S219" s="23">
        <f>ROUND(U218*(1+G$7/12),2)</f>
        <v/>
      </c>
      <c r="T219" s="23">
        <f>MIN(G$8,S219)+MAX(0,MIN(S219-MIN(G$8,S219),$C219-((H219-MIN(C$8,G219))+(K219-MIN(D$8,J219))+(N219-MIN(E$8,M219))+(Q219-MIN(F$8,P219)))))</f>
        <v/>
      </c>
      <c r="U219" s="23">
        <f>ROUND(S219-T219,2)</f>
        <v/>
      </c>
    </row>
    <row r="220">
      <c r="A220" t="n">
        <v>209</v>
      </c>
      <c r="B220" s="22">
        <f>EDATE(Debts!$B$5,208)</f>
        <v/>
      </c>
      <c r="C220" s="23">
        <f>MAX(0,Debts!$B$6-(MIN(C$8,G220)+MIN(D$8,J220)+MIN(E$8,M220)+MIN(F$8,P220)+MIN(G$8,S220)))</f>
        <v/>
      </c>
      <c r="D220" s="23">
        <f>H220+K220+N220+Q220+T220</f>
        <v/>
      </c>
      <c r="E220" s="23">
        <f>I220+L220+O220+R220+U220</f>
        <v/>
      </c>
      <c r="F220" s="23" t="n"/>
      <c r="G220" s="23">
        <f>ROUND(I219*(1+C$7/12),2)</f>
        <v/>
      </c>
      <c r="H220" s="23">
        <f>MIN(C$8,G220)+MAX(0,MIN(G220-MIN(C$8,G220),$C220-(0)))</f>
        <v/>
      </c>
      <c r="I220" s="23">
        <f>ROUND(G220-H220,2)</f>
        <v/>
      </c>
      <c r="J220" s="23">
        <f>ROUND(L219*(1+D$7/12),2)</f>
        <v/>
      </c>
      <c r="K220" s="23">
        <f>MIN(D$8,J220)+MAX(0,MIN(J220-MIN(D$8,J220),$C220-((H220-MIN(C$8,G220)))))</f>
        <v/>
      </c>
      <c r="L220" s="23">
        <f>ROUND(J220-K220,2)</f>
        <v/>
      </c>
      <c r="M220" s="23">
        <f>ROUND(O219*(1+E$7/12),2)</f>
        <v/>
      </c>
      <c r="N220" s="23">
        <f>MIN(E$8,M220)+MAX(0,MIN(M220-MIN(E$8,M220),$C220-((H220-MIN(C$8,G220))+(K220-MIN(D$8,J220)))))</f>
        <v/>
      </c>
      <c r="O220" s="23">
        <f>ROUND(M220-N220,2)</f>
        <v/>
      </c>
      <c r="P220" s="23">
        <f>ROUND(R219*(1+F$7/12),2)</f>
        <v/>
      </c>
      <c r="Q220" s="23">
        <f>MIN(F$8,P220)+MAX(0,MIN(P220-MIN(F$8,P220),$C220-((H220-MIN(C$8,G220))+(K220-MIN(D$8,J220))+(N220-MIN(E$8,M220)))))</f>
        <v/>
      </c>
      <c r="R220" s="23">
        <f>ROUND(P220-Q220,2)</f>
        <v/>
      </c>
      <c r="S220" s="23">
        <f>ROUND(U219*(1+G$7/12),2)</f>
        <v/>
      </c>
      <c r="T220" s="23">
        <f>MIN(G$8,S220)+MAX(0,MIN(S220-MIN(G$8,S220),$C220-((H220-MIN(C$8,G220))+(K220-MIN(D$8,J220))+(N220-MIN(E$8,M220))+(Q220-MIN(F$8,P220)))))</f>
        <v/>
      </c>
      <c r="U220" s="23">
        <f>ROUND(S220-T220,2)</f>
        <v/>
      </c>
    </row>
    <row r="221">
      <c r="A221" t="n">
        <v>210</v>
      </c>
      <c r="B221" s="22">
        <f>EDATE(Debts!$B$5,209)</f>
        <v/>
      </c>
      <c r="C221" s="23">
        <f>MAX(0,Debts!$B$6-(MIN(C$8,G221)+MIN(D$8,J221)+MIN(E$8,M221)+MIN(F$8,P221)+MIN(G$8,S221)))</f>
        <v/>
      </c>
      <c r="D221" s="23">
        <f>H221+K221+N221+Q221+T221</f>
        <v/>
      </c>
      <c r="E221" s="23">
        <f>I221+L221+O221+R221+U221</f>
        <v/>
      </c>
      <c r="F221" s="23" t="n"/>
      <c r="G221" s="23">
        <f>ROUND(I220*(1+C$7/12),2)</f>
        <v/>
      </c>
      <c r="H221" s="23">
        <f>MIN(C$8,G221)+MAX(0,MIN(G221-MIN(C$8,G221),$C221-(0)))</f>
        <v/>
      </c>
      <c r="I221" s="23">
        <f>ROUND(G221-H221,2)</f>
        <v/>
      </c>
      <c r="J221" s="23">
        <f>ROUND(L220*(1+D$7/12),2)</f>
        <v/>
      </c>
      <c r="K221" s="23">
        <f>MIN(D$8,J221)+MAX(0,MIN(J221-MIN(D$8,J221),$C221-((H221-MIN(C$8,G221)))))</f>
        <v/>
      </c>
      <c r="L221" s="23">
        <f>ROUND(J221-K221,2)</f>
        <v/>
      </c>
      <c r="M221" s="23">
        <f>ROUND(O220*(1+E$7/12),2)</f>
        <v/>
      </c>
      <c r="N221" s="23">
        <f>MIN(E$8,M221)+MAX(0,MIN(M221-MIN(E$8,M221),$C221-((H221-MIN(C$8,G221))+(K221-MIN(D$8,J221)))))</f>
        <v/>
      </c>
      <c r="O221" s="23">
        <f>ROUND(M221-N221,2)</f>
        <v/>
      </c>
      <c r="P221" s="23">
        <f>ROUND(R220*(1+F$7/12),2)</f>
        <v/>
      </c>
      <c r="Q221" s="23">
        <f>MIN(F$8,P221)+MAX(0,MIN(P221-MIN(F$8,P221),$C221-((H221-MIN(C$8,G221))+(K221-MIN(D$8,J221))+(N221-MIN(E$8,M221)))))</f>
        <v/>
      </c>
      <c r="R221" s="23">
        <f>ROUND(P221-Q221,2)</f>
        <v/>
      </c>
      <c r="S221" s="23">
        <f>ROUND(U220*(1+G$7/12),2)</f>
        <v/>
      </c>
      <c r="T221" s="23">
        <f>MIN(G$8,S221)+MAX(0,MIN(S221-MIN(G$8,S221),$C221-((H221-MIN(C$8,G221))+(K221-MIN(D$8,J221))+(N221-MIN(E$8,M221))+(Q221-MIN(F$8,P221)))))</f>
        <v/>
      </c>
      <c r="U221" s="23">
        <f>ROUND(S221-T221,2)</f>
        <v/>
      </c>
    </row>
    <row r="222">
      <c r="A222" t="n">
        <v>211</v>
      </c>
      <c r="B222" s="22">
        <f>EDATE(Debts!$B$5,210)</f>
        <v/>
      </c>
      <c r="C222" s="23">
        <f>MAX(0,Debts!$B$6-(MIN(C$8,G222)+MIN(D$8,J222)+MIN(E$8,M222)+MIN(F$8,P222)+MIN(G$8,S222)))</f>
        <v/>
      </c>
      <c r="D222" s="23">
        <f>H222+K222+N222+Q222+T222</f>
        <v/>
      </c>
      <c r="E222" s="23">
        <f>I222+L222+O222+R222+U222</f>
        <v/>
      </c>
      <c r="F222" s="23" t="n"/>
      <c r="G222" s="23">
        <f>ROUND(I221*(1+C$7/12),2)</f>
        <v/>
      </c>
      <c r="H222" s="23">
        <f>MIN(C$8,G222)+MAX(0,MIN(G222-MIN(C$8,G222),$C222-(0)))</f>
        <v/>
      </c>
      <c r="I222" s="23">
        <f>ROUND(G222-H222,2)</f>
        <v/>
      </c>
      <c r="J222" s="23">
        <f>ROUND(L221*(1+D$7/12),2)</f>
        <v/>
      </c>
      <c r="K222" s="23">
        <f>MIN(D$8,J222)+MAX(0,MIN(J222-MIN(D$8,J222),$C222-((H222-MIN(C$8,G222)))))</f>
        <v/>
      </c>
      <c r="L222" s="23">
        <f>ROUND(J222-K222,2)</f>
        <v/>
      </c>
      <c r="M222" s="23">
        <f>ROUND(O221*(1+E$7/12),2)</f>
        <v/>
      </c>
      <c r="N222" s="23">
        <f>MIN(E$8,M222)+MAX(0,MIN(M222-MIN(E$8,M222),$C222-((H222-MIN(C$8,G222))+(K222-MIN(D$8,J222)))))</f>
        <v/>
      </c>
      <c r="O222" s="23">
        <f>ROUND(M222-N222,2)</f>
        <v/>
      </c>
      <c r="P222" s="23">
        <f>ROUND(R221*(1+F$7/12),2)</f>
        <v/>
      </c>
      <c r="Q222" s="23">
        <f>MIN(F$8,P222)+MAX(0,MIN(P222-MIN(F$8,P222),$C222-((H222-MIN(C$8,G222))+(K222-MIN(D$8,J222))+(N222-MIN(E$8,M222)))))</f>
        <v/>
      </c>
      <c r="R222" s="23">
        <f>ROUND(P222-Q222,2)</f>
        <v/>
      </c>
      <c r="S222" s="23">
        <f>ROUND(U221*(1+G$7/12),2)</f>
        <v/>
      </c>
      <c r="T222" s="23">
        <f>MIN(G$8,S222)+MAX(0,MIN(S222-MIN(G$8,S222),$C222-((H222-MIN(C$8,G222))+(K222-MIN(D$8,J222))+(N222-MIN(E$8,M222))+(Q222-MIN(F$8,P222)))))</f>
        <v/>
      </c>
      <c r="U222" s="23">
        <f>ROUND(S222-T222,2)</f>
        <v/>
      </c>
    </row>
    <row r="223">
      <c r="A223" t="n">
        <v>212</v>
      </c>
      <c r="B223" s="22">
        <f>EDATE(Debts!$B$5,211)</f>
        <v/>
      </c>
      <c r="C223" s="23">
        <f>MAX(0,Debts!$B$6-(MIN(C$8,G223)+MIN(D$8,J223)+MIN(E$8,M223)+MIN(F$8,P223)+MIN(G$8,S223)))</f>
        <v/>
      </c>
      <c r="D223" s="23">
        <f>H223+K223+N223+Q223+T223</f>
        <v/>
      </c>
      <c r="E223" s="23">
        <f>I223+L223+O223+R223+U223</f>
        <v/>
      </c>
      <c r="F223" s="23" t="n"/>
      <c r="G223" s="23">
        <f>ROUND(I222*(1+C$7/12),2)</f>
        <v/>
      </c>
      <c r="H223" s="23">
        <f>MIN(C$8,G223)+MAX(0,MIN(G223-MIN(C$8,G223),$C223-(0)))</f>
        <v/>
      </c>
      <c r="I223" s="23">
        <f>ROUND(G223-H223,2)</f>
        <v/>
      </c>
      <c r="J223" s="23">
        <f>ROUND(L222*(1+D$7/12),2)</f>
        <v/>
      </c>
      <c r="K223" s="23">
        <f>MIN(D$8,J223)+MAX(0,MIN(J223-MIN(D$8,J223),$C223-((H223-MIN(C$8,G223)))))</f>
        <v/>
      </c>
      <c r="L223" s="23">
        <f>ROUND(J223-K223,2)</f>
        <v/>
      </c>
      <c r="M223" s="23">
        <f>ROUND(O222*(1+E$7/12),2)</f>
        <v/>
      </c>
      <c r="N223" s="23">
        <f>MIN(E$8,M223)+MAX(0,MIN(M223-MIN(E$8,M223),$C223-((H223-MIN(C$8,G223))+(K223-MIN(D$8,J223)))))</f>
        <v/>
      </c>
      <c r="O223" s="23">
        <f>ROUND(M223-N223,2)</f>
        <v/>
      </c>
      <c r="P223" s="23">
        <f>ROUND(R222*(1+F$7/12),2)</f>
        <v/>
      </c>
      <c r="Q223" s="23">
        <f>MIN(F$8,P223)+MAX(0,MIN(P223-MIN(F$8,P223),$C223-((H223-MIN(C$8,G223))+(K223-MIN(D$8,J223))+(N223-MIN(E$8,M223)))))</f>
        <v/>
      </c>
      <c r="R223" s="23">
        <f>ROUND(P223-Q223,2)</f>
        <v/>
      </c>
      <c r="S223" s="23">
        <f>ROUND(U222*(1+G$7/12),2)</f>
        <v/>
      </c>
      <c r="T223" s="23">
        <f>MIN(G$8,S223)+MAX(0,MIN(S223-MIN(G$8,S223),$C223-((H223-MIN(C$8,G223))+(K223-MIN(D$8,J223))+(N223-MIN(E$8,M223))+(Q223-MIN(F$8,P223)))))</f>
        <v/>
      </c>
      <c r="U223" s="23">
        <f>ROUND(S223-T223,2)</f>
        <v/>
      </c>
    </row>
    <row r="224">
      <c r="A224" t="n">
        <v>213</v>
      </c>
      <c r="B224" s="22">
        <f>EDATE(Debts!$B$5,212)</f>
        <v/>
      </c>
      <c r="C224" s="23">
        <f>MAX(0,Debts!$B$6-(MIN(C$8,G224)+MIN(D$8,J224)+MIN(E$8,M224)+MIN(F$8,P224)+MIN(G$8,S224)))</f>
        <v/>
      </c>
      <c r="D224" s="23">
        <f>H224+K224+N224+Q224+T224</f>
        <v/>
      </c>
      <c r="E224" s="23">
        <f>I224+L224+O224+R224+U224</f>
        <v/>
      </c>
      <c r="F224" s="23" t="n"/>
      <c r="G224" s="23">
        <f>ROUND(I223*(1+C$7/12),2)</f>
        <v/>
      </c>
      <c r="H224" s="23">
        <f>MIN(C$8,G224)+MAX(0,MIN(G224-MIN(C$8,G224),$C224-(0)))</f>
        <v/>
      </c>
      <c r="I224" s="23">
        <f>ROUND(G224-H224,2)</f>
        <v/>
      </c>
      <c r="J224" s="23">
        <f>ROUND(L223*(1+D$7/12),2)</f>
        <v/>
      </c>
      <c r="K224" s="23">
        <f>MIN(D$8,J224)+MAX(0,MIN(J224-MIN(D$8,J224),$C224-((H224-MIN(C$8,G224)))))</f>
        <v/>
      </c>
      <c r="L224" s="23">
        <f>ROUND(J224-K224,2)</f>
        <v/>
      </c>
      <c r="M224" s="23">
        <f>ROUND(O223*(1+E$7/12),2)</f>
        <v/>
      </c>
      <c r="N224" s="23">
        <f>MIN(E$8,M224)+MAX(0,MIN(M224-MIN(E$8,M224),$C224-((H224-MIN(C$8,G224))+(K224-MIN(D$8,J224)))))</f>
        <v/>
      </c>
      <c r="O224" s="23">
        <f>ROUND(M224-N224,2)</f>
        <v/>
      </c>
      <c r="P224" s="23">
        <f>ROUND(R223*(1+F$7/12),2)</f>
        <v/>
      </c>
      <c r="Q224" s="23">
        <f>MIN(F$8,P224)+MAX(0,MIN(P224-MIN(F$8,P224),$C224-((H224-MIN(C$8,G224))+(K224-MIN(D$8,J224))+(N224-MIN(E$8,M224)))))</f>
        <v/>
      </c>
      <c r="R224" s="23">
        <f>ROUND(P224-Q224,2)</f>
        <v/>
      </c>
      <c r="S224" s="23">
        <f>ROUND(U223*(1+G$7/12),2)</f>
        <v/>
      </c>
      <c r="T224" s="23">
        <f>MIN(G$8,S224)+MAX(0,MIN(S224-MIN(G$8,S224),$C224-((H224-MIN(C$8,G224))+(K224-MIN(D$8,J224))+(N224-MIN(E$8,M224))+(Q224-MIN(F$8,P224)))))</f>
        <v/>
      </c>
      <c r="U224" s="23">
        <f>ROUND(S224-T224,2)</f>
        <v/>
      </c>
    </row>
    <row r="225">
      <c r="A225" t="n">
        <v>214</v>
      </c>
      <c r="B225" s="22">
        <f>EDATE(Debts!$B$5,213)</f>
        <v/>
      </c>
      <c r="C225" s="23">
        <f>MAX(0,Debts!$B$6-(MIN(C$8,G225)+MIN(D$8,J225)+MIN(E$8,M225)+MIN(F$8,P225)+MIN(G$8,S225)))</f>
        <v/>
      </c>
      <c r="D225" s="23">
        <f>H225+K225+N225+Q225+T225</f>
        <v/>
      </c>
      <c r="E225" s="23">
        <f>I225+L225+O225+R225+U225</f>
        <v/>
      </c>
      <c r="F225" s="23" t="n"/>
      <c r="G225" s="23">
        <f>ROUND(I224*(1+C$7/12),2)</f>
        <v/>
      </c>
      <c r="H225" s="23">
        <f>MIN(C$8,G225)+MAX(0,MIN(G225-MIN(C$8,G225),$C225-(0)))</f>
        <v/>
      </c>
      <c r="I225" s="23">
        <f>ROUND(G225-H225,2)</f>
        <v/>
      </c>
      <c r="J225" s="23">
        <f>ROUND(L224*(1+D$7/12),2)</f>
        <v/>
      </c>
      <c r="K225" s="23">
        <f>MIN(D$8,J225)+MAX(0,MIN(J225-MIN(D$8,J225),$C225-((H225-MIN(C$8,G225)))))</f>
        <v/>
      </c>
      <c r="L225" s="23">
        <f>ROUND(J225-K225,2)</f>
        <v/>
      </c>
      <c r="M225" s="23">
        <f>ROUND(O224*(1+E$7/12),2)</f>
        <v/>
      </c>
      <c r="N225" s="23">
        <f>MIN(E$8,M225)+MAX(0,MIN(M225-MIN(E$8,M225),$C225-((H225-MIN(C$8,G225))+(K225-MIN(D$8,J225)))))</f>
        <v/>
      </c>
      <c r="O225" s="23">
        <f>ROUND(M225-N225,2)</f>
        <v/>
      </c>
      <c r="P225" s="23">
        <f>ROUND(R224*(1+F$7/12),2)</f>
        <v/>
      </c>
      <c r="Q225" s="23">
        <f>MIN(F$8,P225)+MAX(0,MIN(P225-MIN(F$8,P225),$C225-((H225-MIN(C$8,G225))+(K225-MIN(D$8,J225))+(N225-MIN(E$8,M225)))))</f>
        <v/>
      </c>
      <c r="R225" s="23">
        <f>ROUND(P225-Q225,2)</f>
        <v/>
      </c>
      <c r="S225" s="23">
        <f>ROUND(U224*(1+G$7/12),2)</f>
        <v/>
      </c>
      <c r="T225" s="23">
        <f>MIN(G$8,S225)+MAX(0,MIN(S225-MIN(G$8,S225),$C225-((H225-MIN(C$8,G225))+(K225-MIN(D$8,J225))+(N225-MIN(E$8,M225))+(Q225-MIN(F$8,P225)))))</f>
        <v/>
      </c>
      <c r="U225" s="23">
        <f>ROUND(S225-T225,2)</f>
        <v/>
      </c>
    </row>
    <row r="226">
      <c r="A226" t="n">
        <v>215</v>
      </c>
      <c r="B226" s="22">
        <f>EDATE(Debts!$B$5,214)</f>
        <v/>
      </c>
      <c r="C226" s="23">
        <f>MAX(0,Debts!$B$6-(MIN(C$8,G226)+MIN(D$8,J226)+MIN(E$8,M226)+MIN(F$8,P226)+MIN(G$8,S226)))</f>
        <v/>
      </c>
      <c r="D226" s="23">
        <f>H226+K226+N226+Q226+T226</f>
        <v/>
      </c>
      <c r="E226" s="23">
        <f>I226+L226+O226+R226+U226</f>
        <v/>
      </c>
      <c r="F226" s="23" t="n"/>
      <c r="G226" s="23">
        <f>ROUND(I225*(1+C$7/12),2)</f>
        <v/>
      </c>
      <c r="H226" s="23">
        <f>MIN(C$8,G226)+MAX(0,MIN(G226-MIN(C$8,G226),$C226-(0)))</f>
        <v/>
      </c>
      <c r="I226" s="23">
        <f>ROUND(G226-H226,2)</f>
        <v/>
      </c>
      <c r="J226" s="23">
        <f>ROUND(L225*(1+D$7/12),2)</f>
        <v/>
      </c>
      <c r="K226" s="23">
        <f>MIN(D$8,J226)+MAX(0,MIN(J226-MIN(D$8,J226),$C226-((H226-MIN(C$8,G226)))))</f>
        <v/>
      </c>
      <c r="L226" s="23">
        <f>ROUND(J226-K226,2)</f>
        <v/>
      </c>
      <c r="M226" s="23">
        <f>ROUND(O225*(1+E$7/12),2)</f>
        <v/>
      </c>
      <c r="N226" s="23">
        <f>MIN(E$8,M226)+MAX(0,MIN(M226-MIN(E$8,M226),$C226-((H226-MIN(C$8,G226))+(K226-MIN(D$8,J226)))))</f>
        <v/>
      </c>
      <c r="O226" s="23">
        <f>ROUND(M226-N226,2)</f>
        <v/>
      </c>
      <c r="P226" s="23">
        <f>ROUND(R225*(1+F$7/12),2)</f>
        <v/>
      </c>
      <c r="Q226" s="23">
        <f>MIN(F$8,P226)+MAX(0,MIN(P226-MIN(F$8,P226),$C226-((H226-MIN(C$8,G226))+(K226-MIN(D$8,J226))+(N226-MIN(E$8,M226)))))</f>
        <v/>
      </c>
      <c r="R226" s="23">
        <f>ROUND(P226-Q226,2)</f>
        <v/>
      </c>
      <c r="S226" s="23">
        <f>ROUND(U225*(1+G$7/12),2)</f>
        <v/>
      </c>
      <c r="T226" s="23">
        <f>MIN(G$8,S226)+MAX(0,MIN(S226-MIN(G$8,S226),$C226-((H226-MIN(C$8,G226))+(K226-MIN(D$8,J226))+(N226-MIN(E$8,M226))+(Q226-MIN(F$8,P226)))))</f>
        <v/>
      </c>
      <c r="U226" s="23">
        <f>ROUND(S226-T226,2)</f>
        <v/>
      </c>
    </row>
    <row r="227">
      <c r="A227" t="n">
        <v>216</v>
      </c>
      <c r="B227" s="22">
        <f>EDATE(Debts!$B$5,215)</f>
        <v/>
      </c>
      <c r="C227" s="23">
        <f>MAX(0,Debts!$B$6-(MIN(C$8,G227)+MIN(D$8,J227)+MIN(E$8,M227)+MIN(F$8,P227)+MIN(G$8,S227)))</f>
        <v/>
      </c>
      <c r="D227" s="23">
        <f>H227+K227+N227+Q227+T227</f>
        <v/>
      </c>
      <c r="E227" s="23">
        <f>I227+L227+O227+R227+U227</f>
        <v/>
      </c>
      <c r="F227" s="23" t="n"/>
      <c r="G227" s="23">
        <f>ROUND(I226*(1+C$7/12),2)</f>
        <v/>
      </c>
      <c r="H227" s="23">
        <f>MIN(C$8,G227)+MAX(0,MIN(G227-MIN(C$8,G227),$C227-(0)))</f>
        <v/>
      </c>
      <c r="I227" s="23">
        <f>ROUND(G227-H227,2)</f>
        <v/>
      </c>
      <c r="J227" s="23">
        <f>ROUND(L226*(1+D$7/12),2)</f>
        <v/>
      </c>
      <c r="K227" s="23">
        <f>MIN(D$8,J227)+MAX(0,MIN(J227-MIN(D$8,J227),$C227-((H227-MIN(C$8,G227)))))</f>
        <v/>
      </c>
      <c r="L227" s="23">
        <f>ROUND(J227-K227,2)</f>
        <v/>
      </c>
      <c r="M227" s="23">
        <f>ROUND(O226*(1+E$7/12),2)</f>
        <v/>
      </c>
      <c r="N227" s="23">
        <f>MIN(E$8,M227)+MAX(0,MIN(M227-MIN(E$8,M227),$C227-((H227-MIN(C$8,G227))+(K227-MIN(D$8,J227)))))</f>
        <v/>
      </c>
      <c r="O227" s="23">
        <f>ROUND(M227-N227,2)</f>
        <v/>
      </c>
      <c r="P227" s="23">
        <f>ROUND(R226*(1+F$7/12),2)</f>
        <v/>
      </c>
      <c r="Q227" s="23">
        <f>MIN(F$8,P227)+MAX(0,MIN(P227-MIN(F$8,P227),$C227-((H227-MIN(C$8,G227))+(K227-MIN(D$8,J227))+(N227-MIN(E$8,M227)))))</f>
        <v/>
      </c>
      <c r="R227" s="23">
        <f>ROUND(P227-Q227,2)</f>
        <v/>
      </c>
      <c r="S227" s="23">
        <f>ROUND(U226*(1+G$7/12),2)</f>
        <v/>
      </c>
      <c r="T227" s="23">
        <f>MIN(G$8,S227)+MAX(0,MIN(S227-MIN(G$8,S227),$C227-((H227-MIN(C$8,G227))+(K227-MIN(D$8,J227))+(N227-MIN(E$8,M227))+(Q227-MIN(F$8,P227)))))</f>
        <v/>
      </c>
      <c r="U227" s="23">
        <f>ROUND(S227-T227,2)</f>
        <v/>
      </c>
    </row>
    <row r="228">
      <c r="A228" t="n">
        <v>217</v>
      </c>
      <c r="B228" s="22">
        <f>EDATE(Debts!$B$5,216)</f>
        <v/>
      </c>
      <c r="C228" s="23">
        <f>MAX(0,Debts!$B$6-(MIN(C$8,G228)+MIN(D$8,J228)+MIN(E$8,M228)+MIN(F$8,P228)+MIN(G$8,S228)))</f>
        <v/>
      </c>
      <c r="D228" s="23">
        <f>H228+K228+N228+Q228+T228</f>
        <v/>
      </c>
      <c r="E228" s="23">
        <f>I228+L228+O228+R228+U228</f>
        <v/>
      </c>
      <c r="F228" s="23" t="n"/>
      <c r="G228" s="23">
        <f>ROUND(I227*(1+C$7/12),2)</f>
        <v/>
      </c>
      <c r="H228" s="23">
        <f>MIN(C$8,G228)+MAX(0,MIN(G228-MIN(C$8,G228),$C228-(0)))</f>
        <v/>
      </c>
      <c r="I228" s="23">
        <f>ROUND(G228-H228,2)</f>
        <v/>
      </c>
      <c r="J228" s="23">
        <f>ROUND(L227*(1+D$7/12),2)</f>
        <v/>
      </c>
      <c r="K228" s="23">
        <f>MIN(D$8,J228)+MAX(0,MIN(J228-MIN(D$8,J228),$C228-((H228-MIN(C$8,G228)))))</f>
        <v/>
      </c>
      <c r="L228" s="23">
        <f>ROUND(J228-K228,2)</f>
        <v/>
      </c>
      <c r="M228" s="23">
        <f>ROUND(O227*(1+E$7/12),2)</f>
        <v/>
      </c>
      <c r="N228" s="23">
        <f>MIN(E$8,M228)+MAX(0,MIN(M228-MIN(E$8,M228),$C228-((H228-MIN(C$8,G228))+(K228-MIN(D$8,J228)))))</f>
        <v/>
      </c>
      <c r="O228" s="23">
        <f>ROUND(M228-N228,2)</f>
        <v/>
      </c>
      <c r="P228" s="23">
        <f>ROUND(R227*(1+F$7/12),2)</f>
        <v/>
      </c>
      <c r="Q228" s="23">
        <f>MIN(F$8,P228)+MAX(0,MIN(P228-MIN(F$8,P228),$C228-((H228-MIN(C$8,G228))+(K228-MIN(D$8,J228))+(N228-MIN(E$8,M228)))))</f>
        <v/>
      </c>
      <c r="R228" s="23">
        <f>ROUND(P228-Q228,2)</f>
        <v/>
      </c>
      <c r="S228" s="23">
        <f>ROUND(U227*(1+G$7/12),2)</f>
        <v/>
      </c>
      <c r="T228" s="23">
        <f>MIN(G$8,S228)+MAX(0,MIN(S228-MIN(G$8,S228),$C228-((H228-MIN(C$8,G228))+(K228-MIN(D$8,J228))+(N228-MIN(E$8,M228))+(Q228-MIN(F$8,P228)))))</f>
        <v/>
      </c>
      <c r="U228" s="23">
        <f>ROUND(S228-T228,2)</f>
        <v/>
      </c>
    </row>
    <row r="229">
      <c r="A229" t="n">
        <v>218</v>
      </c>
      <c r="B229" s="22">
        <f>EDATE(Debts!$B$5,217)</f>
        <v/>
      </c>
      <c r="C229" s="23">
        <f>MAX(0,Debts!$B$6-(MIN(C$8,G229)+MIN(D$8,J229)+MIN(E$8,M229)+MIN(F$8,P229)+MIN(G$8,S229)))</f>
        <v/>
      </c>
      <c r="D229" s="23">
        <f>H229+K229+N229+Q229+T229</f>
        <v/>
      </c>
      <c r="E229" s="23">
        <f>I229+L229+O229+R229+U229</f>
        <v/>
      </c>
      <c r="F229" s="23" t="n"/>
      <c r="G229" s="23">
        <f>ROUND(I228*(1+C$7/12),2)</f>
        <v/>
      </c>
      <c r="H229" s="23">
        <f>MIN(C$8,G229)+MAX(0,MIN(G229-MIN(C$8,G229),$C229-(0)))</f>
        <v/>
      </c>
      <c r="I229" s="23">
        <f>ROUND(G229-H229,2)</f>
        <v/>
      </c>
      <c r="J229" s="23">
        <f>ROUND(L228*(1+D$7/12),2)</f>
        <v/>
      </c>
      <c r="K229" s="23">
        <f>MIN(D$8,J229)+MAX(0,MIN(J229-MIN(D$8,J229),$C229-((H229-MIN(C$8,G229)))))</f>
        <v/>
      </c>
      <c r="L229" s="23">
        <f>ROUND(J229-K229,2)</f>
        <v/>
      </c>
      <c r="M229" s="23">
        <f>ROUND(O228*(1+E$7/12),2)</f>
        <v/>
      </c>
      <c r="N229" s="23">
        <f>MIN(E$8,M229)+MAX(0,MIN(M229-MIN(E$8,M229),$C229-((H229-MIN(C$8,G229))+(K229-MIN(D$8,J229)))))</f>
        <v/>
      </c>
      <c r="O229" s="23">
        <f>ROUND(M229-N229,2)</f>
        <v/>
      </c>
      <c r="P229" s="23">
        <f>ROUND(R228*(1+F$7/12),2)</f>
        <v/>
      </c>
      <c r="Q229" s="23">
        <f>MIN(F$8,P229)+MAX(0,MIN(P229-MIN(F$8,P229),$C229-((H229-MIN(C$8,G229))+(K229-MIN(D$8,J229))+(N229-MIN(E$8,M229)))))</f>
        <v/>
      </c>
      <c r="R229" s="23">
        <f>ROUND(P229-Q229,2)</f>
        <v/>
      </c>
      <c r="S229" s="23">
        <f>ROUND(U228*(1+G$7/12),2)</f>
        <v/>
      </c>
      <c r="T229" s="23">
        <f>MIN(G$8,S229)+MAX(0,MIN(S229-MIN(G$8,S229),$C229-((H229-MIN(C$8,G229))+(K229-MIN(D$8,J229))+(N229-MIN(E$8,M229))+(Q229-MIN(F$8,P229)))))</f>
        <v/>
      </c>
      <c r="U229" s="23">
        <f>ROUND(S229-T229,2)</f>
        <v/>
      </c>
    </row>
    <row r="230">
      <c r="A230" t="n">
        <v>219</v>
      </c>
      <c r="B230" s="22">
        <f>EDATE(Debts!$B$5,218)</f>
        <v/>
      </c>
      <c r="C230" s="23">
        <f>MAX(0,Debts!$B$6-(MIN(C$8,G230)+MIN(D$8,J230)+MIN(E$8,M230)+MIN(F$8,P230)+MIN(G$8,S230)))</f>
        <v/>
      </c>
      <c r="D230" s="23">
        <f>H230+K230+N230+Q230+T230</f>
        <v/>
      </c>
      <c r="E230" s="23">
        <f>I230+L230+O230+R230+U230</f>
        <v/>
      </c>
      <c r="F230" s="23" t="n"/>
      <c r="G230" s="23">
        <f>ROUND(I229*(1+C$7/12),2)</f>
        <v/>
      </c>
      <c r="H230" s="23">
        <f>MIN(C$8,G230)+MAX(0,MIN(G230-MIN(C$8,G230),$C230-(0)))</f>
        <v/>
      </c>
      <c r="I230" s="23">
        <f>ROUND(G230-H230,2)</f>
        <v/>
      </c>
      <c r="J230" s="23">
        <f>ROUND(L229*(1+D$7/12),2)</f>
        <v/>
      </c>
      <c r="K230" s="23">
        <f>MIN(D$8,J230)+MAX(0,MIN(J230-MIN(D$8,J230),$C230-((H230-MIN(C$8,G230)))))</f>
        <v/>
      </c>
      <c r="L230" s="23">
        <f>ROUND(J230-K230,2)</f>
        <v/>
      </c>
      <c r="M230" s="23">
        <f>ROUND(O229*(1+E$7/12),2)</f>
        <v/>
      </c>
      <c r="N230" s="23">
        <f>MIN(E$8,M230)+MAX(0,MIN(M230-MIN(E$8,M230),$C230-((H230-MIN(C$8,G230))+(K230-MIN(D$8,J230)))))</f>
        <v/>
      </c>
      <c r="O230" s="23">
        <f>ROUND(M230-N230,2)</f>
        <v/>
      </c>
      <c r="P230" s="23">
        <f>ROUND(R229*(1+F$7/12),2)</f>
        <v/>
      </c>
      <c r="Q230" s="23">
        <f>MIN(F$8,P230)+MAX(0,MIN(P230-MIN(F$8,P230),$C230-((H230-MIN(C$8,G230))+(K230-MIN(D$8,J230))+(N230-MIN(E$8,M230)))))</f>
        <v/>
      </c>
      <c r="R230" s="23">
        <f>ROUND(P230-Q230,2)</f>
        <v/>
      </c>
      <c r="S230" s="23">
        <f>ROUND(U229*(1+G$7/12),2)</f>
        <v/>
      </c>
      <c r="T230" s="23">
        <f>MIN(G$8,S230)+MAX(0,MIN(S230-MIN(G$8,S230),$C230-((H230-MIN(C$8,G230))+(K230-MIN(D$8,J230))+(N230-MIN(E$8,M230))+(Q230-MIN(F$8,P230)))))</f>
        <v/>
      </c>
      <c r="U230" s="23">
        <f>ROUND(S230-T230,2)</f>
        <v/>
      </c>
    </row>
    <row r="231">
      <c r="A231" t="n">
        <v>220</v>
      </c>
      <c r="B231" s="22">
        <f>EDATE(Debts!$B$5,219)</f>
        <v/>
      </c>
      <c r="C231" s="23">
        <f>MAX(0,Debts!$B$6-(MIN(C$8,G231)+MIN(D$8,J231)+MIN(E$8,M231)+MIN(F$8,P231)+MIN(G$8,S231)))</f>
        <v/>
      </c>
      <c r="D231" s="23">
        <f>H231+K231+N231+Q231+T231</f>
        <v/>
      </c>
      <c r="E231" s="23">
        <f>I231+L231+O231+R231+U231</f>
        <v/>
      </c>
      <c r="F231" s="23" t="n"/>
      <c r="G231" s="23">
        <f>ROUND(I230*(1+C$7/12),2)</f>
        <v/>
      </c>
      <c r="H231" s="23">
        <f>MIN(C$8,G231)+MAX(0,MIN(G231-MIN(C$8,G231),$C231-(0)))</f>
        <v/>
      </c>
      <c r="I231" s="23">
        <f>ROUND(G231-H231,2)</f>
        <v/>
      </c>
      <c r="J231" s="23">
        <f>ROUND(L230*(1+D$7/12),2)</f>
        <v/>
      </c>
      <c r="K231" s="23">
        <f>MIN(D$8,J231)+MAX(0,MIN(J231-MIN(D$8,J231),$C231-((H231-MIN(C$8,G231)))))</f>
        <v/>
      </c>
      <c r="L231" s="23">
        <f>ROUND(J231-K231,2)</f>
        <v/>
      </c>
      <c r="M231" s="23">
        <f>ROUND(O230*(1+E$7/12),2)</f>
        <v/>
      </c>
      <c r="N231" s="23">
        <f>MIN(E$8,M231)+MAX(0,MIN(M231-MIN(E$8,M231),$C231-((H231-MIN(C$8,G231))+(K231-MIN(D$8,J231)))))</f>
        <v/>
      </c>
      <c r="O231" s="23">
        <f>ROUND(M231-N231,2)</f>
        <v/>
      </c>
      <c r="P231" s="23">
        <f>ROUND(R230*(1+F$7/12),2)</f>
        <v/>
      </c>
      <c r="Q231" s="23">
        <f>MIN(F$8,P231)+MAX(0,MIN(P231-MIN(F$8,P231),$C231-((H231-MIN(C$8,G231))+(K231-MIN(D$8,J231))+(N231-MIN(E$8,M231)))))</f>
        <v/>
      </c>
      <c r="R231" s="23">
        <f>ROUND(P231-Q231,2)</f>
        <v/>
      </c>
      <c r="S231" s="23">
        <f>ROUND(U230*(1+G$7/12),2)</f>
        <v/>
      </c>
      <c r="T231" s="23">
        <f>MIN(G$8,S231)+MAX(0,MIN(S231-MIN(G$8,S231),$C231-((H231-MIN(C$8,G231))+(K231-MIN(D$8,J231))+(N231-MIN(E$8,M231))+(Q231-MIN(F$8,P231)))))</f>
        <v/>
      </c>
      <c r="U231" s="23">
        <f>ROUND(S231-T231,2)</f>
        <v/>
      </c>
    </row>
    <row r="232">
      <c r="A232" t="n">
        <v>221</v>
      </c>
      <c r="B232" s="22">
        <f>EDATE(Debts!$B$5,220)</f>
        <v/>
      </c>
      <c r="C232" s="23">
        <f>MAX(0,Debts!$B$6-(MIN(C$8,G232)+MIN(D$8,J232)+MIN(E$8,M232)+MIN(F$8,P232)+MIN(G$8,S232)))</f>
        <v/>
      </c>
      <c r="D232" s="23">
        <f>H232+K232+N232+Q232+T232</f>
        <v/>
      </c>
      <c r="E232" s="23">
        <f>I232+L232+O232+R232+U232</f>
        <v/>
      </c>
      <c r="F232" s="23" t="n"/>
      <c r="G232" s="23">
        <f>ROUND(I231*(1+C$7/12),2)</f>
        <v/>
      </c>
      <c r="H232" s="23">
        <f>MIN(C$8,G232)+MAX(0,MIN(G232-MIN(C$8,G232),$C232-(0)))</f>
        <v/>
      </c>
      <c r="I232" s="23">
        <f>ROUND(G232-H232,2)</f>
        <v/>
      </c>
      <c r="J232" s="23">
        <f>ROUND(L231*(1+D$7/12),2)</f>
        <v/>
      </c>
      <c r="K232" s="23">
        <f>MIN(D$8,J232)+MAX(0,MIN(J232-MIN(D$8,J232),$C232-((H232-MIN(C$8,G232)))))</f>
        <v/>
      </c>
      <c r="L232" s="23">
        <f>ROUND(J232-K232,2)</f>
        <v/>
      </c>
      <c r="M232" s="23">
        <f>ROUND(O231*(1+E$7/12),2)</f>
        <v/>
      </c>
      <c r="N232" s="23">
        <f>MIN(E$8,M232)+MAX(0,MIN(M232-MIN(E$8,M232),$C232-((H232-MIN(C$8,G232))+(K232-MIN(D$8,J232)))))</f>
        <v/>
      </c>
      <c r="O232" s="23">
        <f>ROUND(M232-N232,2)</f>
        <v/>
      </c>
      <c r="P232" s="23">
        <f>ROUND(R231*(1+F$7/12),2)</f>
        <v/>
      </c>
      <c r="Q232" s="23">
        <f>MIN(F$8,P232)+MAX(0,MIN(P232-MIN(F$8,P232),$C232-((H232-MIN(C$8,G232))+(K232-MIN(D$8,J232))+(N232-MIN(E$8,M232)))))</f>
        <v/>
      </c>
      <c r="R232" s="23">
        <f>ROUND(P232-Q232,2)</f>
        <v/>
      </c>
      <c r="S232" s="23">
        <f>ROUND(U231*(1+G$7/12),2)</f>
        <v/>
      </c>
      <c r="T232" s="23">
        <f>MIN(G$8,S232)+MAX(0,MIN(S232-MIN(G$8,S232),$C232-((H232-MIN(C$8,G232))+(K232-MIN(D$8,J232))+(N232-MIN(E$8,M232))+(Q232-MIN(F$8,P232)))))</f>
        <v/>
      </c>
      <c r="U232" s="23">
        <f>ROUND(S232-T232,2)</f>
        <v/>
      </c>
    </row>
    <row r="233">
      <c r="A233" t="n">
        <v>222</v>
      </c>
      <c r="B233" s="22">
        <f>EDATE(Debts!$B$5,221)</f>
        <v/>
      </c>
      <c r="C233" s="23">
        <f>MAX(0,Debts!$B$6-(MIN(C$8,G233)+MIN(D$8,J233)+MIN(E$8,M233)+MIN(F$8,P233)+MIN(G$8,S233)))</f>
        <v/>
      </c>
      <c r="D233" s="23">
        <f>H233+K233+N233+Q233+T233</f>
        <v/>
      </c>
      <c r="E233" s="23">
        <f>I233+L233+O233+R233+U233</f>
        <v/>
      </c>
      <c r="F233" s="23" t="n"/>
      <c r="G233" s="23">
        <f>ROUND(I232*(1+C$7/12),2)</f>
        <v/>
      </c>
      <c r="H233" s="23">
        <f>MIN(C$8,G233)+MAX(0,MIN(G233-MIN(C$8,G233),$C233-(0)))</f>
        <v/>
      </c>
      <c r="I233" s="23">
        <f>ROUND(G233-H233,2)</f>
        <v/>
      </c>
      <c r="J233" s="23">
        <f>ROUND(L232*(1+D$7/12),2)</f>
        <v/>
      </c>
      <c r="K233" s="23">
        <f>MIN(D$8,J233)+MAX(0,MIN(J233-MIN(D$8,J233),$C233-((H233-MIN(C$8,G233)))))</f>
        <v/>
      </c>
      <c r="L233" s="23">
        <f>ROUND(J233-K233,2)</f>
        <v/>
      </c>
      <c r="M233" s="23">
        <f>ROUND(O232*(1+E$7/12),2)</f>
        <v/>
      </c>
      <c r="N233" s="23">
        <f>MIN(E$8,M233)+MAX(0,MIN(M233-MIN(E$8,M233),$C233-((H233-MIN(C$8,G233))+(K233-MIN(D$8,J233)))))</f>
        <v/>
      </c>
      <c r="O233" s="23">
        <f>ROUND(M233-N233,2)</f>
        <v/>
      </c>
      <c r="P233" s="23">
        <f>ROUND(R232*(1+F$7/12),2)</f>
        <v/>
      </c>
      <c r="Q233" s="23">
        <f>MIN(F$8,P233)+MAX(0,MIN(P233-MIN(F$8,P233),$C233-((H233-MIN(C$8,G233))+(K233-MIN(D$8,J233))+(N233-MIN(E$8,M233)))))</f>
        <v/>
      </c>
      <c r="R233" s="23">
        <f>ROUND(P233-Q233,2)</f>
        <v/>
      </c>
      <c r="S233" s="23">
        <f>ROUND(U232*(1+G$7/12),2)</f>
        <v/>
      </c>
      <c r="T233" s="23">
        <f>MIN(G$8,S233)+MAX(0,MIN(S233-MIN(G$8,S233),$C233-((H233-MIN(C$8,G233))+(K233-MIN(D$8,J233))+(N233-MIN(E$8,M233))+(Q233-MIN(F$8,P233)))))</f>
        <v/>
      </c>
      <c r="U233" s="23">
        <f>ROUND(S233-T233,2)</f>
        <v/>
      </c>
    </row>
    <row r="234">
      <c r="A234" t="n">
        <v>223</v>
      </c>
      <c r="B234" s="22">
        <f>EDATE(Debts!$B$5,222)</f>
        <v/>
      </c>
      <c r="C234" s="23">
        <f>MAX(0,Debts!$B$6-(MIN(C$8,G234)+MIN(D$8,J234)+MIN(E$8,M234)+MIN(F$8,P234)+MIN(G$8,S234)))</f>
        <v/>
      </c>
      <c r="D234" s="23">
        <f>H234+K234+N234+Q234+T234</f>
        <v/>
      </c>
      <c r="E234" s="23">
        <f>I234+L234+O234+R234+U234</f>
        <v/>
      </c>
      <c r="F234" s="23" t="n"/>
      <c r="G234" s="23">
        <f>ROUND(I233*(1+C$7/12),2)</f>
        <v/>
      </c>
      <c r="H234" s="23">
        <f>MIN(C$8,G234)+MAX(0,MIN(G234-MIN(C$8,G234),$C234-(0)))</f>
        <v/>
      </c>
      <c r="I234" s="23">
        <f>ROUND(G234-H234,2)</f>
        <v/>
      </c>
      <c r="J234" s="23">
        <f>ROUND(L233*(1+D$7/12),2)</f>
        <v/>
      </c>
      <c r="K234" s="23">
        <f>MIN(D$8,J234)+MAX(0,MIN(J234-MIN(D$8,J234),$C234-((H234-MIN(C$8,G234)))))</f>
        <v/>
      </c>
      <c r="L234" s="23">
        <f>ROUND(J234-K234,2)</f>
        <v/>
      </c>
      <c r="M234" s="23">
        <f>ROUND(O233*(1+E$7/12),2)</f>
        <v/>
      </c>
      <c r="N234" s="23">
        <f>MIN(E$8,M234)+MAX(0,MIN(M234-MIN(E$8,M234),$C234-((H234-MIN(C$8,G234))+(K234-MIN(D$8,J234)))))</f>
        <v/>
      </c>
      <c r="O234" s="23">
        <f>ROUND(M234-N234,2)</f>
        <v/>
      </c>
      <c r="P234" s="23">
        <f>ROUND(R233*(1+F$7/12),2)</f>
        <v/>
      </c>
      <c r="Q234" s="23">
        <f>MIN(F$8,P234)+MAX(0,MIN(P234-MIN(F$8,P234),$C234-((H234-MIN(C$8,G234))+(K234-MIN(D$8,J234))+(N234-MIN(E$8,M234)))))</f>
        <v/>
      </c>
      <c r="R234" s="23">
        <f>ROUND(P234-Q234,2)</f>
        <v/>
      </c>
      <c r="S234" s="23">
        <f>ROUND(U233*(1+G$7/12),2)</f>
        <v/>
      </c>
      <c r="T234" s="23">
        <f>MIN(G$8,S234)+MAX(0,MIN(S234-MIN(G$8,S234),$C234-((H234-MIN(C$8,G234))+(K234-MIN(D$8,J234))+(N234-MIN(E$8,M234))+(Q234-MIN(F$8,P234)))))</f>
        <v/>
      </c>
      <c r="U234" s="23">
        <f>ROUND(S234-T234,2)</f>
        <v/>
      </c>
    </row>
    <row r="235">
      <c r="A235" t="n">
        <v>224</v>
      </c>
      <c r="B235" s="22">
        <f>EDATE(Debts!$B$5,223)</f>
        <v/>
      </c>
      <c r="C235" s="23">
        <f>MAX(0,Debts!$B$6-(MIN(C$8,G235)+MIN(D$8,J235)+MIN(E$8,M235)+MIN(F$8,P235)+MIN(G$8,S235)))</f>
        <v/>
      </c>
      <c r="D235" s="23">
        <f>H235+K235+N235+Q235+T235</f>
        <v/>
      </c>
      <c r="E235" s="23">
        <f>I235+L235+O235+R235+U235</f>
        <v/>
      </c>
      <c r="F235" s="23" t="n"/>
      <c r="G235" s="23">
        <f>ROUND(I234*(1+C$7/12),2)</f>
        <v/>
      </c>
      <c r="H235" s="23">
        <f>MIN(C$8,G235)+MAX(0,MIN(G235-MIN(C$8,G235),$C235-(0)))</f>
        <v/>
      </c>
      <c r="I235" s="23">
        <f>ROUND(G235-H235,2)</f>
        <v/>
      </c>
      <c r="J235" s="23">
        <f>ROUND(L234*(1+D$7/12),2)</f>
        <v/>
      </c>
      <c r="K235" s="23">
        <f>MIN(D$8,J235)+MAX(0,MIN(J235-MIN(D$8,J235),$C235-((H235-MIN(C$8,G235)))))</f>
        <v/>
      </c>
      <c r="L235" s="23">
        <f>ROUND(J235-K235,2)</f>
        <v/>
      </c>
      <c r="M235" s="23">
        <f>ROUND(O234*(1+E$7/12),2)</f>
        <v/>
      </c>
      <c r="N235" s="23">
        <f>MIN(E$8,M235)+MAX(0,MIN(M235-MIN(E$8,M235),$C235-((H235-MIN(C$8,G235))+(K235-MIN(D$8,J235)))))</f>
        <v/>
      </c>
      <c r="O235" s="23">
        <f>ROUND(M235-N235,2)</f>
        <v/>
      </c>
      <c r="P235" s="23">
        <f>ROUND(R234*(1+F$7/12),2)</f>
        <v/>
      </c>
      <c r="Q235" s="23">
        <f>MIN(F$8,P235)+MAX(0,MIN(P235-MIN(F$8,P235),$C235-((H235-MIN(C$8,G235))+(K235-MIN(D$8,J235))+(N235-MIN(E$8,M235)))))</f>
        <v/>
      </c>
      <c r="R235" s="23">
        <f>ROUND(P235-Q235,2)</f>
        <v/>
      </c>
      <c r="S235" s="23">
        <f>ROUND(U234*(1+G$7/12),2)</f>
        <v/>
      </c>
      <c r="T235" s="23">
        <f>MIN(G$8,S235)+MAX(0,MIN(S235-MIN(G$8,S235),$C235-((H235-MIN(C$8,G235))+(K235-MIN(D$8,J235))+(N235-MIN(E$8,M235))+(Q235-MIN(F$8,P235)))))</f>
        <v/>
      </c>
      <c r="U235" s="23">
        <f>ROUND(S235-T235,2)</f>
        <v/>
      </c>
    </row>
    <row r="236">
      <c r="A236" t="n">
        <v>225</v>
      </c>
      <c r="B236" s="22">
        <f>EDATE(Debts!$B$5,224)</f>
        <v/>
      </c>
      <c r="C236" s="23">
        <f>MAX(0,Debts!$B$6-(MIN(C$8,G236)+MIN(D$8,J236)+MIN(E$8,M236)+MIN(F$8,P236)+MIN(G$8,S236)))</f>
        <v/>
      </c>
      <c r="D236" s="23">
        <f>H236+K236+N236+Q236+T236</f>
        <v/>
      </c>
      <c r="E236" s="23">
        <f>I236+L236+O236+R236+U236</f>
        <v/>
      </c>
      <c r="F236" s="23" t="n"/>
      <c r="G236" s="23">
        <f>ROUND(I235*(1+C$7/12),2)</f>
        <v/>
      </c>
      <c r="H236" s="23">
        <f>MIN(C$8,G236)+MAX(0,MIN(G236-MIN(C$8,G236),$C236-(0)))</f>
        <v/>
      </c>
      <c r="I236" s="23">
        <f>ROUND(G236-H236,2)</f>
        <v/>
      </c>
      <c r="J236" s="23">
        <f>ROUND(L235*(1+D$7/12),2)</f>
        <v/>
      </c>
      <c r="K236" s="23">
        <f>MIN(D$8,J236)+MAX(0,MIN(J236-MIN(D$8,J236),$C236-((H236-MIN(C$8,G236)))))</f>
        <v/>
      </c>
      <c r="L236" s="23">
        <f>ROUND(J236-K236,2)</f>
        <v/>
      </c>
      <c r="M236" s="23">
        <f>ROUND(O235*(1+E$7/12),2)</f>
        <v/>
      </c>
      <c r="N236" s="23">
        <f>MIN(E$8,M236)+MAX(0,MIN(M236-MIN(E$8,M236),$C236-((H236-MIN(C$8,G236))+(K236-MIN(D$8,J236)))))</f>
        <v/>
      </c>
      <c r="O236" s="23">
        <f>ROUND(M236-N236,2)</f>
        <v/>
      </c>
      <c r="P236" s="23">
        <f>ROUND(R235*(1+F$7/12),2)</f>
        <v/>
      </c>
      <c r="Q236" s="23">
        <f>MIN(F$8,P236)+MAX(0,MIN(P236-MIN(F$8,P236),$C236-((H236-MIN(C$8,G236))+(K236-MIN(D$8,J236))+(N236-MIN(E$8,M236)))))</f>
        <v/>
      </c>
      <c r="R236" s="23">
        <f>ROUND(P236-Q236,2)</f>
        <v/>
      </c>
      <c r="S236" s="23">
        <f>ROUND(U235*(1+G$7/12),2)</f>
        <v/>
      </c>
      <c r="T236" s="23">
        <f>MIN(G$8,S236)+MAX(0,MIN(S236-MIN(G$8,S236),$C236-((H236-MIN(C$8,G236))+(K236-MIN(D$8,J236))+(N236-MIN(E$8,M236))+(Q236-MIN(F$8,P236)))))</f>
        <v/>
      </c>
      <c r="U236" s="23">
        <f>ROUND(S236-T236,2)</f>
        <v/>
      </c>
    </row>
    <row r="237">
      <c r="A237" t="n">
        <v>226</v>
      </c>
      <c r="B237" s="22">
        <f>EDATE(Debts!$B$5,225)</f>
        <v/>
      </c>
      <c r="C237" s="23">
        <f>MAX(0,Debts!$B$6-(MIN(C$8,G237)+MIN(D$8,J237)+MIN(E$8,M237)+MIN(F$8,P237)+MIN(G$8,S237)))</f>
        <v/>
      </c>
      <c r="D237" s="23">
        <f>H237+K237+N237+Q237+T237</f>
        <v/>
      </c>
      <c r="E237" s="23">
        <f>I237+L237+O237+R237+U237</f>
        <v/>
      </c>
      <c r="F237" s="23" t="n"/>
      <c r="G237" s="23">
        <f>ROUND(I236*(1+C$7/12),2)</f>
        <v/>
      </c>
      <c r="H237" s="23">
        <f>MIN(C$8,G237)+MAX(0,MIN(G237-MIN(C$8,G237),$C237-(0)))</f>
        <v/>
      </c>
      <c r="I237" s="23">
        <f>ROUND(G237-H237,2)</f>
        <v/>
      </c>
      <c r="J237" s="23">
        <f>ROUND(L236*(1+D$7/12),2)</f>
        <v/>
      </c>
      <c r="K237" s="23">
        <f>MIN(D$8,J237)+MAX(0,MIN(J237-MIN(D$8,J237),$C237-((H237-MIN(C$8,G237)))))</f>
        <v/>
      </c>
      <c r="L237" s="23">
        <f>ROUND(J237-K237,2)</f>
        <v/>
      </c>
      <c r="M237" s="23">
        <f>ROUND(O236*(1+E$7/12),2)</f>
        <v/>
      </c>
      <c r="N237" s="23">
        <f>MIN(E$8,M237)+MAX(0,MIN(M237-MIN(E$8,M237),$C237-((H237-MIN(C$8,G237))+(K237-MIN(D$8,J237)))))</f>
        <v/>
      </c>
      <c r="O237" s="23">
        <f>ROUND(M237-N237,2)</f>
        <v/>
      </c>
      <c r="P237" s="23">
        <f>ROUND(R236*(1+F$7/12),2)</f>
        <v/>
      </c>
      <c r="Q237" s="23">
        <f>MIN(F$8,P237)+MAX(0,MIN(P237-MIN(F$8,P237),$C237-((H237-MIN(C$8,G237))+(K237-MIN(D$8,J237))+(N237-MIN(E$8,M237)))))</f>
        <v/>
      </c>
      <c r="R237" s="23">
        <f>ROUND(P237-Q237,2)</f>
        <v/>
      </c>
      <c r="S237" s="23">
        <f>ROUND(U236*(1+G$7/12),2)</f>
        <v/>
      </c>
      <c r="T237" s="23">
        <f>MIN(G$8,S237)+MAX(0,MIN(S237-MIN(G$8,S237),$C237-((H237-MIN(C$8,G237))+(K237-MIN(D$8,J237))+(N237-MIN(E$8,M237))+(Q237-MIN(F$8,P237)))))</f>
        <v/>
      </c>
      <c r="U237" s="23">
        <f>ROUND(S237-T237,2)</f>
        <v/>
      </c>
    </row>
    <row r="238">
      <c r="A238" t="n">
        <v>227</v>
      </c>
      <c r="B238" s="22">
        <f>EDATE(Debts!$B$5,226)</f>
        <v/>
      </c>
      <c r="C238" s="23">
        <f>MAX(0,Debts!$B$6-(MIN(C$8,G238)+MIN(D$8,J238)+MIN(E$8,M238)+MIN(F$8,P238)+MIN(G$8,S238)))</f>
        <v/>
      </c>
      <c r="D238" s="23">
        <f>H238+K238+N238+Q238+T238</f>
        <v/>
      </c>
      <c r="E238" s="23">
        <f>I238+L238+O238+R238+U238</f>
        <v/>
      </c>
      <c r="F238" s="23" t="n"/>
      <c r="G238" s="23">
        <f>ROUND(I237*(1+C$7/12),2)</f>
        <v/>
      </c>
      <c r="H238" s="23">
        <f>MIN(C$8,G238)+MAX(0,MIN(G238-MIN(C$8,G238),$C238-(0)))</f>
        <v/>
      </c>
      <c r="I238" s="23">
        <f>ROUND(G238-H238,2)</f>
        <v/>
      </c>
      <c r="J238" s="23">
        <f>ROUND(L237*(1+D$7/12),2)</f>
        <v/>
      </c>
      <c r="K238" s="23">
        <f>MIN(D$8,J238)+MAX(0,MIN(J238-MIN(D$8,J238),$C238-((H238-MIN(C$8,G238)))))</f>
        <v/>
      </c>
      <c r="L238" s="23">
        <f>ROUND(J238-K238,2)</f>
        <v/>
      </c>
      <c r="M238" s="23">
        <f>ROUND(O237*(1+E$7/12),2)</f>
        <v/>
      </c>
      <c r="N238" s="23">
        <f>MIN(E$8,M238)+MAX(0,MIN(M238-MIN(E$8,M238),$C238-((H238-MIN(C$8,G238))+(K238-MIN(D$8,J238)))))</f>
        <v/>
      </c>
      <c r="O238" s="23">
        <f>ROUND(M238-N238,2)</f>
        <v/>
      </c>
      <c r="P238" s="23">
        <f>ROUND(R237*(1+F$7/12),2)</f>
        <v/>
      </c>
      <c r="Q238" s="23">
        <f>MIN(F$8,P238)+MAX(0,MIN(P238-MIN(F$8,P238),$C238-((H238-MIN(C$8,G238))+(K238-MIN(D$8,J238))+(N238-MIN(E$8,M238)))))</f>
        <v/>
      </c>
      <c r="R238" s="23">
        <f>ROUND(P238-Q238,2)</f>
        <v/>
      </c>
      <c r="S238" s="23">
        <f>ROUND(U237*(1+G$7/12),2)</f>
        <v/>
      </c>
      <c r="T238" s="23">
        <f>MIN(G$8,S238)+MAX(0,MIN(S238-MIN(G$8,S238),$C238-((H238-MIN(C$8,G238))+(K238-MIN(D$8,J238))+(N238-MIN(E$8,M238))+(Q238-MIN(F$8,P238)))))</f>
        <v/>
      </c>
      <c r="U238" s="23">
        <f>ROUND(S238-T238,2)</f>
        <v/>
      </c>
    </row>
    <row r="239">
      <c r="A239" t="n">
        <v>228</v>
      </c>
      <c r="B239" s="22">
        <f>EDATE(Debts!$B$5,227)</f>
        <v/>
      </c>
      <c r="C239" s="23">
        <f>MAX(0,Debts!$B$6-(MIN(C$8,G239)+MIN(D$8,J239)+MIN(E$8,M239)+MIN(F$8,P239)+MIN(G$8,S239)))</f>
        <v/>
      </c>
      <c r="D239" s="23">
        <f>H239+K239+N239+Q239+T239</f>
        <v/>
      </c>
      <c r="E239" s="23">
        <f>I239+L239+O239+R239+U239</f>
        <v/>
      </c>
      <c r="F239" s="23" t="n"/>
      <c r="G239" s="23">
        <f>ROUND(I238*(1+C$7/12),2)</f>
        <v/>
      </c>
      <c r="H239" s="23">
        <f>MIN(C$8,G239)+MAX(0,MIN(G239-MIN(C$8,G239),$C239-(0)))</f>
        <v/>
      </c>
      <c r="I239" s="23">
        <f>ROUND(G239-H239,2)</f>
        <v/>
      </c>
      <c r="J239" s="23">
        <f>ROUND(L238*(1+D$7/12),2)</f>
        <v/>
      </c>
      <c r="K239" s="23">
        <f>MIN(D$8,J239)+MAX(0,MIN(J239-MIN(D$8,J239),$C239-((H239-MIN(C$8,G239)))))</f>
        <v/>
      </c>
      <c r="L239" s="23">
        <f>ROUND(J239-K239,2)</f>
        <v/>
      </c>
      <c r="M239" s="23">
        <f>ROUND(O238*(1+E$7/12),2)</f>
        <v/>
      </c>
      <c r="N239" s="23">
        <f>MIN(E$8,M239)+MAX(0,MIN(M239-MIN(E$8,M239),$C239-((H239-MIN(C$8,G239))+(K239-MIN(D$8,J239)))))</f>
        <v/>
      </c>
      <c r="O239" s="23">
        <f>ROUND(M239-N239,2)</f>
        <v/>
      </c>
      <c r="P239" s="23">
        <f>ROUND(R238*(1+F$7/12),2)</f>
        <v/>
      </c>
      <c r="Q239" s="23">
        <f>MIN(F$8,P239)+MAX(0,MIN(P239-MIN(F$8,P239),$C239-((H239-MIN(C$8,G239))+(K239-MIN(D$8,J239))+(N239-MIN(E$8,M239)))))</f>
        <v/>
      </c>
      <c r="R239" s="23">
        <f>ROUND(P239-Q239,2)</f>
        <v/>
      </c>
      <c r="S239" s="23">
        <f>ROUND(U238*(1+G$7/12),2)</f>
        <v/>
      </c>
      <c r="T239" s="23">
        <f>MIN(G$8,S239)+MAX(0,MIN(S239-MIN(G$8,S239),$C239-((H239-MIN(C$8,G239))+(K239-MIN(D$8,J239))+(N239-MIN(E$8,M239))+(Q239-MIN(F$8,P239)))))</f>
        <v/>
      </c>
      <c r="U239" s="23">
        <f>ROUND(S239-T239,2)</f>
        <v/>
      </c>
    </row>
    <row r="240">
      <c r="A240" t="n">
        <v>229</v>
      </c>
      <c r="B240" s="22">
        <f>EDATE(Debts!$B$5,228)</f>
        <v/>
      </c>
      <c r="C240" s="23">
        <f>MAX(0,Debts!$B$6-(MIN(C$8,G240)+MIN(D$8,J240)+MIN(E$8,M240)+MIN(F$8,P240)+MIN(G$8,S240)))</f>
        <v/>
      </c>
      <c r="D240" s="23">
        <f>H240+K240+N240+Q240+T240</f>
        <v/>
      </c>
      <c r="E240" s="23">
        <f>I240+L240+O240+R240+U240</f>
        <v/>
      </c>
      <c r="F240" s="23" t="n"/>
      <c r="G240" s="23">
        <f>ROUND(I239*(1+C$7/12),2)</f>
        <v/>
      </c>
      <c r="H240" s="23">
        <f>MIN(C$8,G240)+MAX(0,MIN(G240-MIN(C$8,G240),$C240-(0)))</f>
        <v/>
      </c>
      <c r="I240" s="23">
        <f>ROUND(G240-H240,2)</f>
        <v/>
      </c>
      <c r="J240" s="23">
        <f>ROUND(L239*(1+D$7/12),2)</f>
        <v/>
      </c>
      <c r="K240" s="23">
        <f>MIN(D$8,J240)+MAX(0,MIN(J240-MIN(D$8,J240),$C240-((H240-MIN(C$8,G240)))))</f>
        <v/>
      </c>
      <c r="L240" s="23">
        <f>ROUND(J240-K240,2)</f>
        <v/>
      </c>
      <c r="M240" s="23">
        <f>ROUND(O239*(1+E$7/12),2)</f>
        <v/>
      </c>
      <c r="N240" s="23">
        <f>MIN(E$8,M240)+MAX(0,MIN(M240-MIN(E$8,M240),$C240-((H240-MIN(C$8,G240))+(K240-MIN(D$8,J240)))))</f>
        <v/>
      </c>
      <c r="O240" s="23">
        <f>ROUND(M240-N240,2)</f>
        <v/>
      </c>
      <c r="P240" s="23">
        <f>ROUND(R239*(1+F$7/12),2)</f>
        <v/>
      </c>
      <c r="Q240" s="23">
        <f>MIN(F$8,P240)+MAX(0,MIN(P240-MIN(F$8,P240),$C240-((H240-MIN(C$8,G240))+(K240-MIN(D$8,J240))+(N240-MIN(E$8,M240)))))</f>
        <v/>
      </c>
      <c r="R240" s="23">
        <f>ROUND(P240-Q240,2)</f>
        <v/>
      </c>
      <c r="S240" s="23">
        <f>ROUND(U239*(1+G$7/12),2)</f>
        <v/>
      </c>
      <c r="T240" s="23">
        <f>MIN(G$8,S240)+MAX(0,MIN(S240-MIN(G$8,S240),$C240-((H240-MIN(C$8,G240))+(K240-MIN(D$8,J240))+(N240-MIN(E$8,M240))+(Q240-MIN(F$8,P240)))))</f>
        <v/>
      </c>
      <c r="U240" s="23">
        <f>ROUND(S240-T240,2)</f>
        <v/>
      </c>
    </row>
    <row r="241">
      <c r="A241" t="n">
        <v>230</v>
      </c>
      <c r="B241" s="22">
        <f>EDATE(Debts!$B$5,229)</f>
        <v/>
      </c>
      <c r="C241" s="23">
        <f>MAX(0,Debts!$B$6-(MIN(C$8,G241)+MIN(D$8,J241)+MIN(E$8,M241)+MIN(F$8,P241)+MIN(G$8,S241)))</f>
        <v/>
      </c>
      <c r="D241" s="23">
        <f>H241+K241+N241+Q241+T241</f>
        <v/>
      </c>
      <c r="E241" s="23">
        <f>I241+L241+O241+R241+U241</f>
        <v/>
      </c>
      <c r="F241" s="23" t="n"/>
      <c r="G241" s="23">
        <f>ROUND(I240*(1+C$7/12),2)</f>
        <v/>
      </c>
      <c r="H241" s="23">
        <f>MIN(C$8,G241)+MAX(0,MIN(G241-MIN(C$8,G241),$C241-(0)))</f>
        <v/>
      </c>
      <c r="I241" s="23">
        <f>ROUND(G241-H241,2)</f>
        <v/>
      </c>
      <c r="J241" s="23">
        <f>ROUND(L240*(1+D$7/12),2)</f>
        <v/>
      </c>
      <c r="K241" s="23">
        <f>MIN(D$8,J241)+MAX(0,MIN(J241-MIN(D$8,J241),$C241-((H241-MIN(C$8,G241)))))</f>
        <v/>
      </c>
      <c r="L241" s="23">
        <f>ROUND(J241-K241,2)</f>
        <v/>
      </c>
      <c r="M241" s="23">
        <f>ROUND(O240*(1+E$7/12),2)</f>
        <v/>
      </c>
      <c r="N241" s="23">
        <f>MIN(E$8,M241)+MAX(0,MIN(M241-MIN(E$8,M241),$C241-((H241-MIN(C$8,G241))+(K241-MIN(D$8,J241)))))</f>
        <v/>
      </c>
      <c r="O241" s="23">
        <f>ROUND(M241-N241,2)</f>
        <v/>
      </c>
      <c r="P241" s="23">
        <f>ROUND(R240*(1+F$7/12),2)</f>
        <v/>
      </c>
      <c r="Q241" s="23">
        <f>MIN(F$8,P241)+MAX(0,MIN(P241-MIN(F$8,P241),$C241-((H241-MIN(C$8,G241))+(K241-MIN(D$8,J241))+(N241-MIN(E$8,M241)))))</f>
        <v/>
      </c>
      <c r="R241" s="23">
        <f>ROUND(P241-Q241,2)</f>
        <v/>
      </c>
      <c r="S241" s="23">
        <f>ROUND(U240*(1+G$7/12),2)</f>
        <v/>
      </c>
      <c r="T241" s="23">
        <f>MIN(G$8,S241)+MAX(0,MIN(S241-MIN(G$8,S241),$C241-((H241-MIN(C$8,G241))+(K241-MIN(D$8,J241))+(N241-MIN(E$8,M241))+(Q241-MIN(F$8,P241)))))</f>
        <v/>
      </c>
      <c r="U241" s="23">
        <f>ROUND(S241-T241,2)</f>
        <v/>
      </c>
    </row>
    <row r="242">
      <c r="A242" t="n">
        <v>231</v>
      </c>
      <c r="B242" s="22">
        <f>EDATE(Debts!$B$5,230)</f>
        <v/>
      </c>
      <c r="C242" s="23">
        <f>MAX(0,Debts!$B$6-(MIN(C$8,G242)+MIN(D$8,J242)+MIN(E$8,M242)+MIN(F$8,P242)+MIN(G$8,S242)))</f>
        <v/>
      </c>
      <c r="D242" s="23">
        <f>H242+K242+N242+Q242+T242</f>
        <v/>
      </c>
      <c r="E242" s="23">
        <f>I242+L242+O242+R242+U242</f>
        <v/>
      </c>
      <c r="F242" s="23" t="n"/>
      <c r="G242" s="23">
        <f>ROUND(I241*(1+C$7/12),2)</f>
        <v/>
      </c>
      <c r="H242" s="23">
        <f>MIN(C$8,G242)+MAX(0,MIN(G242-MIN(C$8,G242),$C242-(0)))</f>
        <v/>
      </c>
      <c r="I242" s="23">
        <f>ROUND(G242-H242,2)</f>
        <v/>
      </c>
      <c r="J242" s="23">
        <f>ROUND(L241*(1+D$7/12),2)</f>
        <v/>
      </c>
      <c r="K242" s="23">
        <f>MIN(D$8,J242)+MAX(0,MIN(J242-MIN(D$8,J242),$C242-((H242-MIN(C$8,G242)))))</f>
        <v/>
      </c>
      <c r="L242" s="23">
        <f>ROUND(J242-K242,2)</f>
        <v/>
      </c>
      <c r="M242" s="23">
        <f>ROUND(O241*(1+E$7/12),2)</f>
        <v/>
      </c>
      <c r="N242" s="23">
        <f>MIN(E$8,M242)+MAX(0,MIN(M242-MIN(E$8,M242),$C242-((H242-MIN(C$8,G242))+(K242-MIN(D$8,J242)))))</f>
        <v/>
      </c>
      <c r="O242" s="23">
        <f>ROUND(M242-N242,2)</f>
        <v/>
      </c>
      <c r="P242" s="23">
        <f>ROUND(R241*(1+F$7/12),2)</f>
        <v/>
      </c>
      <c r="Q242" s="23">
        <f>MIN(F$8,P242)+MAX(0,MIN(P242-MIN(F$8,P242),$C242-((H242-MIN(C$8,G242))+(K242-MIN(D$8,J242))+(N242-MIN(E$8,M242)))))</f>
        <v/>
      </c>
      <c r="R242" s="23">
        <f>ROUND(P242-Q242,2)</f>
        <v/>
      </c>
      <c r="S242" s="23">
        <f>ROUND(U241*(1+G$7/12),2)</f>
        <v/>
      </c>
      <c r="T242" s="23">
        <f>MIN(G$8,S242)+MAX(0,MIN(S242-MIN(G$8,S242),$C242-((H242-MIN(C$8,G242))+(K242-MIN(D$8,J242))+(N242-MIN(E$8,M242))+(Q242-MIN(F$8,P242)))))</f>
        <v/>
      </c>
      <c r="U242" s="23">
        <f>ROUND(S242-T242,2)</f>
        <v/>
      </c>
    </row>
    <row r="243">
      <c r="A243" t="n">
        <v>232</v>
      </c>
      <c r="B243" s="22">
        <f>EDATE(Debts!$B$5,231)</f>
        <v/>
      </c>
      <c r="C243" s="23">
        <f>MAX(0,Debts!$B$6-(MIN(C$8,G243)+MIN(D$8,J243)+MIN(E$8,M243)+MIN(F$8,P243)+MIN(G$8,S243)))</f>
        <v/>
      </c>
      <c r="D243" s="23">
        <f>H243+K243+N243+Q243+T243</f>
        <v/>
      </c>
      <c r="E243" s="23">
        <f>I243+L243+O243+R243+U243</f>
        <v/>
      </c>
      <c r="F243" s="23" t="n"/>
      <c r="G243" s="23">
        <f>ROUND(I242*(1+C$7/12),2)</f>
        <v/>
      </c>
      <c r="H243" s="23">
        <f>MIN(C$8,G243)+MAX(0,MIN(G243-MIN(C$8,G243),$C243-(0)))</f>
        <v/>
      </c>
      <c r="I243" s="23">
        <f>ROUND(G243-H243,2)</f>
        <v/>
      </c>
      <c r="J243" s="23">
        <f>ROUND(L242*(1+D$7/12),2)</f>
        <v/>
      </c>
      <c r="K243" s="23">
        <f>MIN(D$8,J243)+MAX(0,MIN(J243-MIN(D$8,J243),$C243-((H243-MIN(C$8,G243)))))</f>
        <v/>
      </c>
      <c r="L243" s="23">
        <f>ROUND(J243-K243,2)</f>
        <v/>
      </c>
      <c r="M243" s="23">
        <f>ROUND(O242*(1+E$7/12),2)</f>
        <v/>
      </c>
      <c r="N243" s="23">
        <f>MIN(E$8,M243)+MAX(0,MIN(M243-MIN(E$8,M243),$C243-((H243-MIN(C$8,G243))+(K243-MIN(D$8,J243)))))</f>
        <v/>
      </c>
      <c r="O243" s="23">
        <f>ROUND(M243-N243,2)</f>
        <v/>
      </c>
      <c r="P243" s="23">
        <f>ROUND(R242*(1+F$7/12),2)</f>
        <v/>
      </c>
      <c r="Q243" s="23">
        <f>MIN(F$8,P243)+MAX(0,MIN(P243-MIN(F$8,P243),$C243-((H243-MIN(C$8,G243))+(K243-MIN(D$8,J243))+(N243-MIN(E$8,M243)))))</f>
        <v/>
      </c>
      <c r="R243" s="23">
        <f>ROUND(P243-Q243,2)</f>
        <v/>
      </c>
      <c r="S243" s="23">
        <f>ROUND(U242*(1+G$7/12),2)</f>
        <v/>
      </c>
      <c r="T243" s="23">
        <f>MIN(G$8,S243)+MAX(0,MIN(S243-MIN(G$8,S243),$C243-((H243-MIN(C$8,G243))+(K243-MIN(D$8,J243))+(N243-MIN(E$8,M243))+(Q243-MIN(F$8,P243)))))</f>
        <v/>
      </c>
      <c r="U243" s="23">
        <f>ROUND(S243-T243,2)</f>
        <v/>
      </c>
    </row>
    <row r="244">
      <c r="A244" t="n">
        <v>233</v>
      </c>
      <c r="B244" s="22">
        <f>EDATE(Debts!$B$5,232)</f>
        <v/>
      </c>
      <c r="C244" s="23">
        <f>MAX(0,Debts!$B$6-(MIN(C$8,G244)+MIN(D$8,J244)+MIN(E$8,M244)+MIN(F$8,P244)+MIN(G$8,S244)))</f>
        <v/>
      </c>
      <c r="D244" s="23">
        <f>H244+K244+N244+Q244+T244</f>
        <v/>
      </c>
      <c r="E244" s="23">
        <f>I244+L244+O244+R244+U244</f>
        <v/>
      </c>
      <c r="F244" s="23" t="n"/>
      <c r="G244" s="23">
        <f>ROUND(I243*(1+C$7/12),2)</f>
        <v/>
      </c>
      <c r="H244" s="23">
        <f>MIN(C$8,G244)+MAX(0,MIN(G244-MIN(C$8,G244),$C244-(0)))</f>
        <v/>
      </c>
      <c r="I244" s="23">
        <f>ROUND(G244-H244,2)</f>
        <v/>
      </c>
      <c r="J244" s="23">
        <f>ROUND(L243*(1+D$7/12),2)</f>
        <v/>
      </c>
      <c r="K244" s="23">
        <f>MIN(D$8,J244)+MAX(0,MIN(J244-MIN(D$8,J244),$C244-((H244-MIN(C$8,G244)))))</f>
        <v/>
      </c>
      <c r="L244" s="23">
        <f>ROUND(J244-K244,2)</f>
        <v/>
      </c>
      <c r="M244" s="23">
        <f>ROUND(O243*(1+E$7/12),2)</f>
        <v/>
      </c>
      <c r="N244" s="23">
        <f>MIN(E$8,M244)+MAX(0,MIN(M244-MIN(E$8,M244),$C244-((H244-MIN(C$8,G244))+(K244-MIN(D$8,J244)))))</f>
        <v/>
      </c>
      <c r="O244" s="23">
        <f>ROUND(M244-N244,2)</f>
        <v/>
      </c>
      <c r="P244" s="23">
        <f>ROUND(R243*(1+F$7/12),2)</f>
        <v/>
      </c>
      <c r="Q244" s="23">
        <f>MIN(F$8,P244)+MAX(0,MIN(P244-MIN(F$8,P244),$C244-((H244-MIN(C$8,G244))+(K244-MIN(D$8,J244))+(N244-MIN(E$8,M244)))))</f>
        <v/>
      </c>
      <c r="R244" s="23">
        <f>ROUND(P244-Q244,2)</f>
        <v/>
      </c>
      <c r="S244" s="23">
        <f>ROUND(U243*(1+G$7/12),2)</f>
        <v/>
      </c>
      <c r="T244" s="23">
        <f>MIN(G$8,S244)+MAX(0,MIN(S244-MIN(G$8,S244),$C244-((H244-MIN(C$8,G244))+(K244-MIN(D$8,J244))+(N244-MIN(E$8,M244))+(Q244-MIN(F$8,P244)))))</f>
        <v/>
      </c>
      <c r="U244" s="23">
        <f>ROUND(S244-T244,2)</f>
        <v/>
      </c>
    </row>
    <row r="245">
      <c r="A245" t="n">
        <v>234</v>
      </c>
      <c r="B245" s="22">
        <f>EDATE(Debts!$B$5,233)</f>
        <v/>
      </c>
      <c r="C245" s="23">
        <f>MAX(0,Debts!$B$6-(MIN(C$8,G245)+MIN(D$8,J245)+MIN(E$8,M245)+MIN(F$8,P245)+MIN(G$8,S245)))</f>
        <v/>
      </c>
      <c r="D245" s="23">
        <f>H245+K245+N245+Q245+T245</f>
        <v/>
      </c>
      <c r="E245" s="23">
        <f>I245+L245+O245+R245+U245</f>
        <v/>
      </c>
      <c r="F245" s="23" t="n"/>
      <c r="G245" s="23">
        <f>ROUND(I244*(1+C$7/12),2)</f>
        <v/>
      </c>
      <c r="H245" s="23">
        <f>MIN(C$8,G245)+MAX(0,MIN(G245-MIN(C$8,G245),$C245-(0)))</f>
        <v/>
      </c>
      <c r="I245" s="23">
        <f>ROUND(G245-H245,2)</f>
        <v/>
      </c>
      <c r="J245" s="23">
        <f>ROUND(L244*(1+D$7/12),2)</f>
        <v/>
      </c>
      <c r="K245" s="23">
        <f>MIN(D$8,J245)+MAX(0,MIN(J245-MIN(D$8,J245),$C245-((H245-MIN(C$8,G245)))))</f>
        <v/>
      </c>
      <c r="L245" s="23">
        <f>ROUND(J245-K245,2)</f>
        <v/>
      </c>
      <c r="M245" s="23">
        <f>ROUND(O244*(1+E$7/12),2)</f>
        <v/>
      </c>
      <c r="N245" s="23">
        <f>MIN(E$8,M245)+MAX(0,MIN(M245-MIN(E$8,M245),$C245-((H245-MIN(C$8,G245))+(K245-MIN(D$8,J245)))))</f>
        <v/>
      </c>
      <c r="O245" s="23">
        <f>ROUND(M245-N245,2)</f>
        <v/>
      </c>
      <c r="P245" s="23">
        <f>ROUND(R244*(1+F$7/12),2)</f>
        <v/>
      </c>
      <c r="Q245" s="23">
        <f>MIN(F$8,P245)+MAX(0,MIN(P245-MIN(F$8,P245),$C245-((H245-MIN(C$8,G245))+(K245-MIN(D$8,J245))+(N245-MIN(E$8,M245)))))</f>
        <v/>
      </c>
      <c r="R245" s="23">
        <f>ROUND(P245-Q245,2)</f>
        <v/>
      </c>
      <c r="S245" s="23">
        <f>ROUND(U244*(1+G$7/12),2)</f>
        <v/>
      </c>
      <c r="T245" s="23">
        <f>MIN(G$8,S245)+MAX(0,MIN(S245-MIN(G$8,S245),$C245-((H245-MIN(C$8,G245))+(K245-MIN(D$8,J245))+(N245-MIN(E$8,M245))+(Q245-MIN(F$8,P245)))))</f>
        <v/>
      </c>
      <c r="U245" s="23">
        <f>ROUND(S245-T245,2)</f>
        <v/>
      </c>
    </row>
    <row r="246">
      <c r="A246" t="n">
        <v>235</v>
      </c>
      <c r="B246" s="22">
        <f>EDATE(Debts!$B$5,234)</f>
        <v/>
      </c>
      <c r="C246" s="23">
        <f>MAX(0,Debts!$B$6-(MIN(C$8,G246)+MIN(D$8,J246)+MIN(E$8,M246)+MIN(F$8,P246)+MIN(G$8,S246)))</f>
        <v/>
      </c>
      <c r="D246" s="23">
        <f>H246+K246+N246+Q246+T246</f>
        <v/>
      </c>
      <c r="E246" s="23">
        <f>I246+L246+O246+R246+U246</f>
        <v/>
      </c>
      <c r="F246" s="23" t="n"/>
      <c r="G246" s="23">
        <f>ROUND(I245*(1+C$7/12),2)</f>
        <v/>
      </c>
      <c r="H246" s="23">
        <f>MIN(C$8,G246)+MAX(0,MIN(G246-MIN(C$8,G246),$C246-(0)))</f>
        <v/>
      </c>
      <c r="I246" s="23">
        <f>ROUND(G246-H246,2)</f>
        <v/>
      </c>
      <c r="J246" s="23">
        <f>ROUND(L245*(1+D$7/12),2)</f>
        <v/>
      </c>
      <c r="K246" s="23">
        <f>MIN(D$8,J246)+MAX(0,MIN(J246-MIN(D$8,J246),$C246-((H246-MIN(C$8,G246)))))</f>
        <v/>
      </c>
      <c r="L246" s="23">
        <f>ROUND(J246-K246,2)</f>
        <v/>
      </c>
      <c r="M246" s="23">
        <f>ROUND(O245*(1+E$7/12),2)</f>
        <v/>
      </c>
      <c r="N246" s="23">
        <f>MIN(E$8,M246)+MAX(0,MIN(M246-MIN(E$8,M246),$C246-((H246-MIN(C$8,G246))+(K246-MIN(D$8,J246)))))</f>
        <v/>
      </c>
      <c r="O246" s="23">
        <f>ROUND(M246-N246,2)</f>
        <v/>
      </c>
      <c r="P246" s="23">
        <f>ROUND(R245*(1+F$7/12),2)</f>
        <v/>
      </c>
      <c r="Q246" s="23">
        <f>MIN(F$8,P246)+MAX(0,MIN(P246-MIN(F$8,P246),$C246-((H246-MIN(C$8,G246))+(K246-MIN(D$8,J246))+(N246-MIN(E$8,M246)))))</f>
        <v/>
      </c>
      <c r="R246" s="23">
        <f>ROUND(P246-Q246,2)</f>
        <v/>
      </c>
      <c r="S246" s="23">
        <f>ROUND(U245*(1+G$7/12),2)</f>
        <v/>
      </c>
      <c r="T246" s="23">
        <f>MIN(G$8,S246)+MAX(0,MIN(S246-MIN(G$8,S246),$C246-((H246-MIN(C$8,G246))+(K246-MIN(D$8,J246))+(N246-MIN(E$8,M246))+(Q246-MIN(F$8,P246)))))</f>
        <v/>
      </c>
      <c r="U246" s="23">
        <f>ROUND(S246-T246,2)</f>
        <v/>
      </c>
    </row>
    <row r="247">
      <c r="A247" t="n">
        <v>236</v>
      </c>
      <c r="B247" s="22">
        <f>EDATE(Debts!$B$5,235)</f>
        <v/>
      </c>
      <c r="C247" s="23">
        <f>MAX(0,Debts!$B$6-(MIN(C$8,G247)+MIN(D$8,J247)+MIN(E$8,M247)+MIN(F$8,P247)+MIN(G$8,S247)))</f>
        <v/>
      </c>
      <c r="D247" s="23">
        <f>H247+K247+N247+Q247+T247</f>
        <v/>
      </c>
      <c r="E247" s="23">
        <f>I247+L247+O247+R247+U247</f>
        <v/>
      </c>
      <c r="F247" s="23" t="n"/>
      <c r="G247" s="23">
        <f>ROUND(I246*(1+C$7/12),2)</f>
        <v/>
      </c>
      <c r="H247" s="23">
        <f>MIN(C$8,G247)+MAX(0,MIN(G247-MIN(C$8,G247),$C247-(0)))</f>
        <v/>
      </c>
      <c r="I247" s="23">
        <f>ROUND(G247-H247,2)</f>
        <v/>
      </c>
      <c r="J247" s="23">
        <f>ROUND(L246*(1+D$7/12),2)</f>
        <v/>
      </c>
      <c r="K247" s="23">
        <f>MIN(D$8,J247)+MAX(0,MIN(J247-MIN(D$8,J247),$C247-((H247-MIN(C$8,G247)))))</f>
        <v/>
      </c>
      <c r="L247" s="23">
        <f>ROUND(J247-K247,2)</f>
        <v/>
      </c>
      <c r="M247" s="23">
        <f>ROUND(O246*(1+E$7/12),2)</f>
        <v/>
      </c>
      <c r="N247" s="23">
        <f>MIN(E$8,M247)+MAX(0,MIN(M247-MIN(E$8,M247),$C247-((H247-MIN(C$8,G247))+(K247-MIN(D$8,J247)))))</f>
        <v/>
      </c>
      <c r="O247" s="23">
        <f>ROUND(M247-N247,2)</f>
        <v/>
      </c>
      <c r="P247" s="23">
        <f>ROUND(R246*(1+F$7/12),2)</f>
        <v/>
      </c>
      <c r="Q247" s="23">
        <f>MIN(F$8,P247)+MAX(0,MIN(P247-MIN(F$8,P247),$C247-((H247-MIN(C$8,G247))+(K247-MIN(D$8,J247))+(N247-MIN(E$8,M247)))))</f>
        <v/>
      </c>
      <c r="R247" s="23">
        <f>ROUND(P247-Q247,2)</f>
        <v/>
      </c>
      <c r="S247" s="23">
        <f>ROUND(U246*(1+G$7/12),2)</f>
        <v/>
      </c>
      <c r="T247" s="23">
        <f>MIN(G$8,S247)+MAX(0,MIN(S247-MIN(G$8,S247),$C247-((H247-MIN(C$8,G247))+(K247-MIN(D$8,J247))+(N247-MIN(E$8,M247))+(Q247-MIN(F$8,P247)))))</f>
        <v/>
      </c>
      <c r="U247" s="23">
        <f>ROUND(S247-T247,2)</f>
        <v/>
      </c>
    </row>
    <row r="248">
      <c r="A248" t="n">
        <v>237</v>
      </c>
      <c r="B248" s="22">
        <f>EDATE(Debts!$B$5,236)</f>
        <v/>
      </c>
      <c r="C248" s="23">
        <f>MAX(0,Debts!$B$6-(MIN(C$8,G248)+MIN(D$8,J248)+MIN(E$8,M248)+MIN(F$8,P248)+MIN(G$8,S248)))</f>
        <v/>
      </c>
      <c r="D248" s="23">
        <f>H248+K248+N248+Q248+T248</f>
        <v/>
      </c>
      <c r="E248" s="23">
        <f>I248+L248+O248+R248+U248</f>
        <v/>
      </c>
      <c r="F248" s="23" t="n"/>
      <c r="G248" s="23">
        <f>ROUND(I247*(1+C$7/12),2)</f>
        <v/>
      </c>
      <c r="H248" s="23">
        <f>MIN(C$8,G248)+MAX(0,MIN(G248-MIN(C$8,G248),$C248-(0)))</f>
        <v/>
      </c>
      <c r="I248" s="23">
        <f>ROUND(G248-H248,2)</f>
        <v/>
      </c>
      <c r="J248" s="23">
        <f>ROUND(L247*(1+D$7/12),2)</f>
        <v/>
      </c>
      <c r="K248" s="23">
        <f>MIN(D$8,J248)+MAX(0,MIN(J248-MIN(D$8,J248),$C248-((H248-MIN(C$8,G248)))))</f>
        <v/>
      </c>
      <c r="L248" s="23">
        <f>ROUND(J248-K248,2)</f>
        <v/>
      </c>
      <c r="M248" s="23">
        <f>ROUND(O247*(1+E$7/12),2)</f>
        <v/>
      </c>
      <c r="N248" s="23">
        <f>MIN(E$8,M248)+MAX(0,MIN(M248-MIN(E$8,M248),$C248-((H248-MIN(C$8,G248))+(K248-MIN(D$8,J248)))))</f>
        <v/>
      </c>
      <c r="O248" s="23">
        <f>ROUND(M248-N248,2)</f>
        <v/>
      </c>
      <c r="P248" s="23">
        <f>ROUND(R247*(1+F$7/12),2)</f>
        <v/>
      </c>
      <c r="Q248" s="23">
        <f>MIN(F$8,P248)+MAX(0,MIN(P248-MIN(F$8,P248),$C248-((H248-MIN(C$8,G248))+(K248-MIN(D$8,J248))+(N248-MIN(E$8,M248)))))</f>
        <v/>
      </c>
      <c r="R248" s="23">
        <f>ROUND(P248-Q248,2)</f>
        <v/>
      </c>
      <c r="S248" s="23">
        <f>ROUND(U247*(1+G$7/12),2)</f>
        <v/>
      </c>
      <c r="T248" s="23">
        <f>MIN(G$8,S248)+MAX(0,MIN(S248-MIN(G$8,S248),$C248-((H248-MIN(C$8,G248))+(K248-MIN(D$8,J248))+(N248-MIN(E$8,M248))+(Q248-MIN(F$8,P248)))))</f>
        <v/>
      </c>
      <c r="U248" s="23">
        <f>ROUND(S248-T248,2)</f>
        <v/>
      </c>
    </row>
    <row r="249">
      <c r="A249" t="n">
        <v>238</v>
      </c>
      <c r="B249" s="22">
        <f>EDATE(Debts!$B$5,237)</f>
        <v/>
      </c>
      <c r="C249" s="23">
        <f>MAX(0,Debts!$B$6-(MIN(C$8,G249)+MIN(D$8,J249)+MIN(E$8,M249)+MIN(F$8,P249)+MIN(G$8,S249)))</f>
        <v/>
      </c>
      <c r="D249" s="23">
        <f>H249+K249+N249+Q249+T249</f>
        <v/>
      </c>
      <c r="E249" s="23">
        <f>I249+L249+O249+R249+U249</f>
        <v/>
      </c>
      <c r="F249" s="23" t="n"/>
      <c r="G249" s="23">
        <f>ROUND(I248*(1+C$7/12),2)</f>
        <v/>
      </c>
      <c r="H249" s="23">
        <f>MIN(C$8,G249)+MAX(0,MIN(G249-MIN(C$8,G249),$C249-(0)))</f>
        <v/>
      </c>
      <c r="I249" s="23">
        <f>ROUND(G249-H249,2)</f>
        <v/>
      </c>
      <c r="J249" s="23">
        <f>ROUND(L248*(1+D$7/12),2)</f>
        <v/>
      </c>
      <c r="K249" s="23">
        <f>MIN(D$8,J249)+MAX(0,MIN(J249-MIN(D$8,J249),$C249-((H249-MIN(C$8,G249)))))</f>
        <v/>
      </c>
      <c r="L249" s="23">
        <f>ROUND(J249-K249,2)</f>
        <v/>
      </c>
      <c r="M249" s="23">
        <f>ROUND(O248*(1+E$7/12),2)</f>
        <v/>
      </c>
      <c r="N249" s="23">
        <f>MIN(E$8,M249)+MAX(0,MIN(M249-MIN(E$8,M249),$C249-((H249-MIN(C$8,G249))+(K249-MIN(D$8,J249)))))</f>
        <v/>
      </c>
      <c r="O249" s="23">
        <f>ROUND(M249-N249,2)</f>
        <v/>
      </c>
      <c r="P249" s="23">
        <f>ROUND(R248*(1+F$7/12),2)</f>
        <v/>
      </c>
      <c r="Q249" s="23">
        <f>MIN(F$8,P249)+MAX(0,MIN(P249-MIN(F$8,P249),$C249-((H249-MIN(C$8,G249))+(K249-MIN(D$8,J249))+(N249-MIN(E$8,M249)))))</f>
        <v/>
      </c>
      <c r="R249" s="23">
        <f>ROUND(P249-Q249,2)</f>
        <v/>
      </c>
      <c r="S249" s="23">
        <f>ROUND(U248*(1+G$7/12),2)</f>
        <v/>
      </c>
      <c r="T249" s="23">
        <f>MIN(G$8,S249)+MAX(0,MIN(S249-MIN(G$8,S249),$C249-((H249-MIN(C$8,G249))+(K249-MIN(D$8,J249))+(N249-MIN(E$8,M249))+(Q249-MIN(F$8,P249)))))</f>
        <v/>
      </c>
      <c r="U249" s="23">
        <f>ROUND(S249-T249,2)</f>
        <v/>
      </c>
    </row>
    <row r="250">
      <c r="A250" t="n">
        <v>239</v>
      </c>
      <c r="B250" s="22">
        <f>EDATE(Debts!$B$5,238)</f>
        <v/>
      </c>
      <c r="C250" s="23">
        <f>MAX(0,Debts!$B$6-(MIN(C$8,G250)+MIN(D$8,J250)+MIN(E$8,M250)+MIN(F$8,P250)+MIN(G$8,S250)))</f>
        <v/>
      </c>
      <c r="D250" s="23">
        <f>H250+K250+N250+Q250+T250</f>
        <v/>
      </c>
      <c r="E250" s="23">
        <f>I250+L250+O250+R250+U250</f>
        <v/>
      </c>
      <c r="F250" s="23" t="n"/>
      <c r="G250" s="23">
        <f>ROUND(I249*(1+C$7/12),2)</f>
        <v/>
      </c>
      <c r="H250" s="23">
        <f>MIN(C$8,G250)+MAX(0,MIN(G250-MIN(C$8,G250),$C250-(0)))</f>
        <v/>
      </c>
      <c r="I250" s="23">
        <f>ROUND(G250-H250,2)</f>
        <v/>
      </c>
      <c r="J250" s="23">
        <f>ROUND(L249*(1+D$7/12),2)</f>
        <v/>
      </c>
      <c r="K250" s="23">
        <f>MIN(D$8,J250)+MAX(0,MIN(J250-MIN(D$8,J250),$C250-((H250-MIN(C$8,G250)))))</f>
        <v/>
      </c>
      <c r="L250" s="23">
        <f>ROUND(J250-K250,2)</f>
        <v/>
      </c>
      <c r="M250" s="23">
        <f>ROUND(O249*(1+E$7/12),2)</f>
        <v/>
      </c>
      <c r="N250" s="23">
        <f>MIN(E$8,M250)+MAX(0,MIN(M250-MIN(E$8,M250),$C250-((H250-MIN(C$8,G250))+(K250-MIN(D$8,J250)))))</f>
        <v/>
      </c>
      <c r="O250" s="23">
        <f>ROUND(M250-N250,2)</f>
        <v/>
      </c>
      <c r="P250" s="23">
        <f>ROUND(R249*(1+F$7/12),2)</f>
        <v/>
      </c>
      <c r="Q250" s="23">
        <f>MIN(F$8,P250)+MAX(0,MIN(P250-MIN(F$8,P250),$C250-((H250-MIN(C$8,G250))+(K250-MIN(D$8,J250))+(N250-MIN(E$8,M250)))))</f>
        <v/>
      </c>
      <c r="R250" s="23">
        <f>ROUND(P250-Q250,2)</f>
        <v/>
      </c>
      <c r="S250" s="23">
        <f>ROUND(U249*(1+G$7/12),2)</f>
        <v/>
      </c>
      <c r="T250" s="23">
        <f>MIN(G$8,S250)+MAX(0,MIN(S250-MIN(G$8,S250),$C250-((H250-MIN(C$8,G250))+(K250-MIN(D$8,J250))+(N250-MIN(E$8,M250))+(Q250-MIN(F$8,P250)))))</f>
        <v/>
      </c>
      <c r="U250" s="23">
        <f>ROUND(S250-T250,2)</f>
        <v/>
      </c>
    </row>
    <row r="251">
      <c r="A251" t="n">
        <v>240</v>
      </c>
      <c r="B251" s="22">
        <f>EDATE(Debts!$B$5,239)</f>
        <v/>
      </c>
      <c r="C251" s="23">
        <f>MAX(0,Debts!$B$6-(MIN(C$8,G251)+MIN(D$8,J251)+MIN(E$8,M251)+MIN(F$8,P251)+MIN(G$8,S251)))</f>
        <v/>
      </c>
      <c r="D251" s="23">
        <f>H251+K251+N251+Q251+T251</f>
        <v/>
      </c>
      <c r="E251" s="23">
        <f>I251+L251+O251+R251+U251</f>
        <v/>
      </c>
      <c r="F251" s="23" t="n"/>
      <c r="G251" s="23">
        <f>ROUND(I250*(1+C$7/12),2)</f>
        <v/>
      </c>
      <c r="H251" s="23">
        <f>MIN(C$8,G251)+MAX(0,MIN(G251-MIN(C$8,G251),$C251-(0)))</f>
        <v/>
      </c>
      <c r="I251" s="23">
        <f>ROUND(G251-H251,2)</f>
        <v/>
      </c>
      <c r="J251" s="23">
        <f>ROUND(L250*(1+D$7/12),2)</f>
        <v/>
      </c>
      <c r="K251" s="23">
        <f>MIN(D$8,J251)+MAX(0,MIN(J251-MIN(D$8,J251),$C251-((H251-MIN(C$8,G251)))))</f>
        <v/>
      </c>
      <c r="L251" s="23">
        <f>ROUND(J251-K251,2)</f>
        <v/>
      </c>
      <c r="M251" s="23">
        <f>ROUND(O250*(1+E$7/12),2)</f>
        <v/>
      </c>
      <c r="N251" s="23">
        <f>MIN(E$8,M251)+MAX(0,MIN(M251-MIN(E$8,M251),$C251-((H251-MIN(C$8,G251))+(K251-MIN(D$8,J251)))))</f>
        <v/>
      </c>
      <c r="O251" s="23">
        <f>ROUND(M251-N251,2)</f>
        <v/>
      </c>
      <c r="P251" s="23">
        <f>ROUND(R250*(1+F$7/12),2)</f>
        <v/>
      </c>
      <c r="Q251" s="23">
        <f>MIN(F$8,P251)+MAX(0,MIN(P251-MIN(F$8,P251),$C251-((H251-MIN(C$8,G251))+(K251-MIN(D$8,J251))+(N251-MIN(E$8,M251)))))</f>
        <v/>
      </c>
      <c r="R251" s="23">
        <f>ROUND(P251-Q251,2)</f>
        <v/>
      </c>
      <c r="S251" s="23">
        <f>ROUND(U250*(1+G$7/12),2)</f>
        <v/>
      </c>
      <c r="T251" s="23">
        <f>MIN(G$8,S251)+MAX(0,MIN(S251-MIN(G$8,S251),$C251-((H251-MIN(C$8,G251))+(K251-MIN(D$8,J251))+(N251-MIN(E$8,M251))+(Q251-MIN(F$8,P251)))))</f>
        <v/>
      </c>
      <c r="U251" s="23">
        <f>ROUND(S251-T251,2)</f>
        <v/>
      </c>
    </row>
    <row r="252">
      <c r="A252" t="n">
        <v>241</v>
      </c>
      <c r="B252" s="22">
        <f>EDATE(Debts!$B$5,240)</f>
        <v/>
      </c>
      <c r="C252" s="23">
        <f>MAX(0,Debts!$B$6-(MIN(C$8,G252)+MIN(D$8,J252)+MIN(E$8,M252)+MIN(F$8,P252)+MIN(G$8,S252)))</f>
        <v/>
      </c>
      <c r="D252" s="23">
        <f>H252+K252+N252+Q252+T252</f>
        <v/>
      </c>
      <c r="E252" s="23">
        <f>I252+L252+O252+R252+U252</f>
        <v/>
      </c>
      <c r="F252" s="23" t="n"/>
      <c r="G252" s="23">
        <f>ROUND(I251*(1+C$7/12),2)</f>
        <v/>
      </c>
      <c r="H252" s="23">
        <f>MIN(C$8,G252)+MAX(0,MIN(G252-MIN(C$8,G252),$C252-(0)))</f>
        <v/>
      </c>
      <c r="I252" s="23">
        <f>ROUND(G252-H252,2)</f>
        <v/>
      </c>
      <c r="J252" s="23">
        <f>ROUND(L251*(1+D$7/12),2)</f>
        <v/>
      </c>
      <c r="K252" s="23">
        <f>MIN(D$8,J252)+MAX(0,MIN(J252-MIN(D$8,J252),$C252-((H252-MIN(C$8,G252)))))</f>
        <v/>
      </c>
      <c r="L252" s="23">
        <f>ROUND(J252-K252,2)</f>
        <v/>
      </c>
      <c r="M252" s="23">
        <f>ROUND(O251*(1+E$7/12),2)</f>
        <v/>
      </c>
      <c r="N252" s="23">
        <f>MIN(E$8,M252)+MAX(0,MIN(M252-MIN(E$8,M252),$C252-((H252-MIN(C$8,G252))+(K252-MIN(D$8,J252)))))</f>
        <v/>
      </c>
      <c r="O252" s="23">
        <f>ROUND(M252-N252,2)</f>
        <v/>
      </c>
      <c r="P252" s="23">
        <f>ROUND(R251*(1+F$7/12),2)</f>
        <v/>
      </c>
      <c r="Q252" s="23">
        <f>MIN(F$8,P252)+MAX(0,MIN(P252-MIN(F$8,P252),$C252-((H252-MIN(C$8,G252))+(K252-MIN(D$8,J252))+(N252-MIN(E$8,M252)))))</f>
        <v/>
      </c>
      <c r="R252" s="23">
        <f>ROUND(P252-Q252,2)</f>
        <v/>
      </c>
      <c r="S252" s="23">
        <f>ROUND(U251*(1+G$7/12),2)</f>
        <v/>
      </c>
      <c r="T252" s="23">
        <f>MIN(G$8,S252)+MAX(0,MIN(S252-MIN(G$8,S252),$C252-((H252-MIN(C$8,G252))+(K252-MIN(D$8,J252))+(N252-MIN(E$8,M252))+(Q252-MIN(F$8,P252)))))</f>
        <v/>
      </c>
      <c r="U252" s="23">
        <f>ROUND(S252-T252,2)</f>
        <v/>
      </c>
    </row>
    <row r="253">
      <c r="A253" t="n">
        <v>242</v>
      </c>
      <c r="B253" s="22">
        <f>EDATE(Debts!$B$5,241)</f>
        <v/>
      </c>
      <c r="C253" s="23">
        <f>MAX(0,Debts!$B$6-(MIN(C$8,G253)+MIN(D$8,J253)+MIN(E$8,M253)+MIN(F$8,P253)+MIN(G$8,S253)))</f>
        <v/>
      </c>
      <c r="D253" s="23">
        <f>H253+K253+N253+Q253+T253</f>
        <v/>
      </c>
      <c r="E253" s="23">
        <f>I253+L253+O253+R253+U253</f>
        <v/>
      </c>
      <c r="F253" s="23" t="n"/>
      <c r="G253" s="23">
        <f>ROUND(I252*(1+C$7/12),2)</f>
        <v/>
      </c>
      <c r="H253" s="23">
        <f>MIN(C$8,G253)+MAX(0,MIN(G253-MIN(C$8,G253),$C253-(0)))</f>
        <v/>
      </c>
      <c r="I253" s="23">
        <f>ROUND(G253-H253,2)</f>
        <v/>
      </c>
      <c r="J253" s="23">
        <f>ROUND(L252*(1+D$7/12),2)</f>
        <v/>
      </c>
      <c r="K253" s="23">
        <f>MIN(D$8,J253)+MAX(0,MIN(J253-MIN(D$8,J253),$C253-((H253-MIN(C$8,G253)))))</f>
        <v/>
      </c>
      <c r="L253" s="23">
        <f>ROUND(J253-K253,2)</f>
        <v/>
      </c>
      <c r="M253" s="23">
        <f>ROUND(O252*(1+E$7/12),2)</f>
        <v/>
      </c>
      <c r="N253" s="23">
        <f>MIN(E$8,M253)+MAX(0,MIN(M253-MIN(E$8,M253),$C253-((H253-MIN(C$8,G253))+(K253-MIN(D$8,J253)))))</f>
        <v/>
      </c>
      <c r="O253" s="23">
        <f>ROUND(M253-N253,2)</f>
        <v/>
      </c>
      <c r="P253" s="23">
        <f>ROUND(R252*(1+F$7/12),2)</f>
        <v/>
      </c>
      <c r="Q253" s="23">
        <f>MIN(F$8,P253)+MAX(0,MIN(P253-MIN(F$8,P253),$C253-((H253-MIN(C$8,G253))+(K253-MIN(D$8,J253))+(N253-MIN(E$8,M253)))))</f>
        <v/>
      </c>
      <c r="R253" s="23">
        <f>ROUND(P253-Q253,2)</f>
        <v/>
      </c>
      <c r="S253" s="23">
        <f>ROUND(U252*(1+G$7/12),2)</f>
        <v/>
      </c>
      <c r="T253" s="23">
        <f>MIN(G$8,S253)+MAX(0,MIN(S253-MIN(G$8,S253),$C253-((H253-MIN(C$8,G253))+(K253-MIN(D$8,J253))+(N253-MIN(E$8,M253))+(Q253-MIN(F$8,P253)))))</f>
        <v/>
      </c>
      <c r="U253" s="23">
        <f>ROUND(S253-T253,2)</f>
        <v/>
      </c>
    </row>
    <row r="254">
      <c r="A254" t="n">
        <v>243</v>
      </c>
      <c r="B254" s="22">
        <f>EDATE(Debts!$B$5,242)</f>
        <v/>
      </c>
      <c r="C254" s="23">
        <f>MAX(0,Debts!$B$6-(MIN(C$8,G254)+MIN(D$8,J254)+MIN(E$8,M254)+MIN(F$8,P254)+MIN(G$8,S254)))</f>
        <v/>
      </c>
      <c r="D254" s="23">
        <f>H254+K254+N254+Q254+T254</f>
        <v/>
      </c>
      <c r="E254" s="23">
        <f>I254+L254+O254+R254+U254</f>
        <v/>
      </c>
      <c r="F254" s="23" t="n"/>
      <c r="G254" s="23">
        <f>ROUND(I253*(1+C$7/12),2)</f>
        <v/>
      </c>
      <c r="H254" s="23">
        <f>MIN(C$8,G254)+MAX(0,MIN(G254-MIN(C$8,G254),$C254-(0)))</f>
        <v/>
      </c>
      <c r="I254" s="23">
        <f>ROUND(G254-H254,2)</f>
        <v/>
      </c>
      <c r="J254" s="23">
        <f>ROUND(L253*(1+D$7/12),2)</f>
        <v/>
      </c>
      <c r="K254" s="23">
        <f>MIN(D$8,J254)+MAX(0,MIN(J254-MIN(D$8,J254),$C254-((H254-MIN(C$8,G254)))))</f>
        <v/>
      </c>
      <c r="L254" s="23">
        <f>ROUND(J254-K254,2)</f>
        <v/>
      </c>
      <c r="M254" s="23">
        <f>ROUND(O253*(1+E$7/12),2)</f>
        <v/>
      </c>
      <c r="N254" s="23">
        <f>MIN(E$8,M254)+MAX(0,MIN(M254-MIN(E$8,M254),$C254-((H254-MIN(C$8,G254))+(K254-MIN(D$8,J254)))))</f>
        <v/>
      </c>
      <c r="O254" s="23">
        <f>ROUND(M254-N254,2)</f>
        <v/>
      </c>
      <c r="P254" s="23">
        <f>ROUND(R253*(1+F$7/12),2)</f>
        <v/>
      </c>
      <c r="Q254" s="23">
        <f>MIN(F$8,P254)+MAX(0,MIN(P254-MIN(F$8,P254),$C254-((H254-MIN(C$8,G254))+(K254-MIN(D$8,J254))+(N254-MIN(E$8,M254)))))</f>
        <v/>
      </c>
      <c r="R254" s="23">
        <f>ROUND(P254-Q254,2)</f>
        <v/>
      </c>
      <c r="S254" s="23">
        <f>ROUND(U253*(1+G$7/12),2)</f>
        <v/>
      </c>
      <c r="T254" s="23">
        <f>MIN(G$8,S254)+MAX(0,MIN(S254-MIN(G$8,S254),$C254-((H254-MIN(C$8,G254))+(K254-MIN(D$8,J254))+(N254-MIN(E$8,M254))+(Q254-MIN(F$8,P254)))))</f>
        <v/>
      </c>
      <c r="U254" s="23">
        <f>ROUND(S254-T254,2)</f>
        <v/>
      </c>
    </row>
    <row r="255">
      <c r="A255" t="n">
        <v>244</v>
      </c>
      <c r="B255" s="22">
        <f>EDATE(Debts!$B$5,243)</f>
        <v/>
      </c>
      <c r="C255" s="23">
        <f>MAX(0,Debts!$B$6-(MIN(C$8,G255)+MIN(D$8,J255)+MIN(E$8,M255)+MIN(F$8,P255)+MIN(G$8,S255)))</f>
        <v/>
      </c>
      <c r="D255" s="23">
        <f>H255+K255+N255+Q255+T255</f>
        <v/>
      </c>
      <c r="E255" s="23">
        <f>I255+L255+O255+R255+U255</f>
        <v/>
      </c>
      <c r="F255" s="23" t="n"/>
      <c r="G255" s="23">
        <f>ROUND(I254*(1+C$7/12),2)</f>
        <v/>
      </c>
      <c r="H255" s="23">
        <f>MIN(C$8,G255)+MAX(0,MIN(G255-MIN(C$8,G255),$C255-(0)))</f>
        <v/>
      </c>
      <c r="I255" s="23">
        <f>ROUND(G255-H255,2)</f>
        <v/>
      </c>
      <c r="J255" s="23">
        <f>ROUND(L254*(1+D$7/12),2)</f>
        <v/>
      </c>
      <c r="K255" s="23">
        <f>MIN(D$8,J255)+MAX(0,MIN(J255-MIN(D$8,J255),$C255-((H255-MIN(C$8,G255)))))</f>
        <v/>
      </c>
      <c r="L255" s="23">
        <f>ROUND(J255-K255,2)</f>
        <v/>
      </c>
      <c r="M255" s="23">
        <f>ROUND(O254*(1+E$7/12),2)</f>
        <v/>
      </c>
      <c r="N255" s="23">
        <f>MIN(E$8,M255)+MAX(0,MIN(M255-MIN(E$8,M255),$C255-((H255-MIN(C$8,G255))+(K255-MIN(D$8,J255)))))</f>
        <v/>
      </c>
      <c r="O255" s="23">
        <f>ROUND(M255-N255,2)</f>
        <v/>
      </c>
      <c r="P255" s="23">
        <f>ROUND(R254*(1+F$7/12),2)</f>
        <v/>
      </c>
      <c r="Q255" s="23">
        <f>MIN(F$8,P255)+MAX(0,MIN(P255-MIN(F$8,P255),$C255-((H255-MIN(C$8,G255))+(K255-MIN(D$8,J255))+(N255-MIN(E$8,M255)))))</f>
        <v/>
      </c>
      <c r="R255" s="23">
        <f>ROUND(P255-Q255,2)</f>
        <v/>
      </c>
      <c r="S255" s="23">
        <f>ROUND(U254*(1+G$7/12),2)</f>
        <v/>
      </c>
      <c r="T255" s="23">
        <f>MIN(G$8,S255)+MAX(0,MIN(S255-MIN(G$8,S255),$C255-((H255-MIN(C$8,G255))+(K255-MIN(D$8,J255))+(N255-MIN(E$8,M255))+(Q255-MIN(F$8,P255)))))</f>
        <v/>
      </c>
      <c r="U255" s="23">
        <f>ROUND(S255-T255,2)</f>
        <v/>
      </c>
    </row>
    <row r="256">
      <c r="A256" t="n">
        <v>245</v>
      </c>
      <c r="B256" s="22">
        <f>EDATE(Debts!$B$5,244)</f>
        <v/>
      </c>
      <c r="C256" s="23">
        <f>MAX(0,Debts!$B$6-(MIN(C$8,G256)+MIN(D$8,J256)+MIN(E$8,M256)+MIN(F$8,P256)+MIN(G$8,S256)))</f>
        <v/>
      </c>
      <c r="D256" s="23">
        <f>H256+K256+N256+Q256+T256</f>
        <v/>
      </c>
      <c r="E256" s="23">
        <f>I256+L256+O256+R256+U256</f>
        <v/>
      </c>
      <c r="F256" s="23" t="n"/>
      <c r="G256" s="23">
        <f>ROUND(I255*(1+C$7/12),2)</f>
        <v/>
      </c>
      <c r="H256" s="23">
        <f>MIN(C$8,G256)+MAX(0,MIN(G256-MIN(C$8,G256),$C256-(0)))</f>
        <v/>
      </c>
      <c r="I256" s="23">
        <f>ROUND(G256-H256,2)</f>
        <v/>
      </c>
      <c r="J256" s="23">
        <f>ROUND(L255*(1+D$7/12),2)</f>
        <v/>
      </c>
      <c r="K256" s="23">
        <f>MIN(D$8,J256)+MAX(0,MIN(J256-MIN(D$8,J256),$C256-((H256-MIN(C$8,G256)))))</f>
        <v/>
      </c>
      <c r="L256" s="23">
        <f>ROUND(J256-K256,2)</f>
        <v/>
      </c>
      <c r="M256" s="23">
        <f>ROUND(O255*(1+E$7/12),2)</f>
        <v/>
      </c>
      <c r="N256" s="23">
        <f>MIN(E$8,M256)+MAX(0,MIN(M256-MIN(E$8,M256),$C256-((H256-MIN(C$8,G256))+(K256-MIN(D$8,J256)))))</f>
        <v/>
      </c>
      <c r="O256" s="23">
        <f>ROUND(M256-N256,2)</f>
        <v/>
      </c>
      <c r="P256" s="23">
        <f>ROUND(R255*(1+F$7/12),2)</f>
        <v/>
      </c>
      <c r="Q256" s="23">
        <f>MIN(F$8,P256)+MAX(0,MIN(P256-MIN(F$8,P256),$C256-((H256-MIN(C$8,G256))+(K256-MIN(D$8,J256))+(N256-MIN(E$8,M256)))))</f>
        <v/>
      </c>
      <c r="R256" s="23">
        <f>ROUND(P256-Q256,2)</f>
        <v/>
      </c>
      <c r="S256" s="23">
        <f>ROUND(U255*(1+G$7/12),2)</f>
        <v/>
      </c>
      <c r="T256" s="23">
        <f>MIN(G$8,S256)+MAX(0,MIN(S256-MIN(G$8,S256),$C256-((H256-MIN(C$8,G256))+(K256-MIN(D$8,J256))+(N256-MIN(E$8,M256))+(Q256-MIN(F$8,P256)))))</f>
        <v/>
      </c>
      <c r="U256" s="23">
        <f>ROUND(S256-T256,2)</f>
        <v/>
      </c>
    </row>
    <row r="257">
      <c r="A257" t="n">
        <v>246</v>
      </c>
      <c r="B257" s="22">
        <f>EDATE(Debts!$B$5,245)</f>
        <v/>
      </c>
      <c r="C257" s="23">
        <f>MAX(0,Debts!$B$6-(MIN(C$8,G257)+MIN(D$8,J257)+MIN(E$8,M257)+MIN(F$8,P257)+MIN(G$8,S257)))</f>
        <v/>
      </c>
      <c r="D257" s="23">
        <f>H257+K257+N257+Q257+T257</f>
        <v/>
      </c>
      <c r="E257" s="23">
        <f>I257+L257+O257+R257+U257</f>
        <v/>
      </c>
      <c r="F257" s="23" t="n"/>
      <c r="G257" s="23">
        <f>ROUND(I256*(1+C$7/12),2)</f>
        <v/>
      </c>
      <c r="H257" s="23">
        <f>MIN(C$8,G257)+MAX(0,MIN(G257-MIN(C$8,G257),$C257-(0)))</f>
        <v/>
      </c>
      <c r="I257" s="23">
        <f>ROUND(G257-H257,2)</f>
        <v/>
      </c>
      <c r="J257" s="23">
        <f>ROUND(L256*(1+D$7/12),2)</f>
        <v/>
      </c>
      <c r="K257" s="23">
        <f>MIN(D$8,J257)+MAX(0,MIN(J257-MIN(D$8,J257),$C257-((H257-MIN(C$8,G257)))))</f>
        <v/>
      </c>
      <c r="L257" s="23">
        <f>ROUND(J257-K257,2)</f>
        <v/>
      </c>
      <c r="M257" s="23">
        <f>ROUND(O256*(1+E$7/12),2)</f>
        <v/>
      </c>
      <c r="N257" s="23">
        <f>MIN(E$8,M257)+MAX(0,MIN(M257-MIN(E$8,M257),$C257-((H257-MIN(C$8,G257))+(K257-MIN(D$8,J257)))))</f>
        <v/>
      </c>
      <c r="O257" s="23">
        <f>ROUND(M257-N257,2)</f>
        <v/>
      </c>
      <c r="P257" s="23">
        <f>ROUND(R256*(1+F$7/12),2)</f>
        <v/>
      </c>
      <c r="Q257" s="23">
        <f>MIN(F$8,P257)+MAX(0,MIN(P257-MIN(F$8,P257),$C257-((H257-MIN(C$8,G257))+(K257-MIN(D$8,J257))+(N257-MIN(E$8,M257)))))</f>
        <v/>
      </c>
      <c r="R257" s="23">
        <f>ROUND(P257-Q257,2)</f>
        <v/>
      </c>
      <c r="S257" s="23">
        <f>ROUND(U256*(1+G$7/12),2)</f>
        <v/>
      </c>
      <c r="T257" s="23">
        <f>MIN(G$8,S257)+MAX(0,MIN(S257-MIN(G$8,S257),$C257-((H257-MIN(C$8,G257))+(K257-MIN(D$8,J257))+(N257-MIN(E$8,M257))+(Q257-MIN(F$8,P257)))))</f>
        <v/>
      </c>
      <c r="U257" s="23">
        <f>ROUND(S257-T257,2)</f>
        <v/>
      </c>
    </row>
    <row r="258">
      <c r="A258" t="n">
        <v>247</v>
      </c>
      <c r="B258" s="22">
        <f>EDATE(Debts!$B$5,246)</f>
        <v/>
      </c>
      <c r="C258" s="23">
        <f>MAX(0,Debts!$B$6-(MIN(C$8,G258)+MIN(D$8,J258)+MIN(E$8,M258)+MIN(F$8,P258)+MIN(G$8,S258)))</f>
        <v/>
      </c>
      <c r="D258" s="23">
        <f>H258+K258+N258+Q258+T258</f>
        <v/>
      </c>
      <c r="E258" s="23">
        <f>I258+L258+O258+R258+U258</f>
        <v/>
      </c>
      <c r="F258" s="23" t="n"/>
      <c r="G258" s="23">
        <f>ROUND(I257*(1+C$7/12),2)</f>
        <v/>
      </c>
      <c r="H258" s="23">
        <f>MIN(C$8,G258)+MAX(0,MIN(G258-MIN(C$8,G258),$C258-(0)))</f>
        <v/>
      </c>
      <c r="I258" s="23">
        <f>ROUND(G258-H258,2)</f>
        <v/>
      </c>
      <c r="J258" s="23">
        <f>ROUND(L257*(1+D$7/12),2)</f>
        <v/>
      </c>
      <c r="K258" s="23">
        <f>MIN(D$8,J258)+MAX(0,MIN(J258-MIN(D$8,J258),$C258-((H258-MIN(C$8,G258)))))</f>
        <v/>
      </c>
      <c r="L258" s="23">
        <f>ROUND(J258-K258,2)</f>
        <v/>
      </c>
      <c r="M258" s="23">
        <f>ROUND(O257*(1+E$7/12),2)</f>
        <v/>
      </c>
      <c r="N258" s="23">
        <f>MIN(E$8,M258)+MAX(0,MIN(M258-MIN(E$8,M258),$C258-((H258-MIN(C$8,G258))+(K258-MIN(D$8,J258)))))</f>
        <v/>
      </c>
      <c r="O258" s="23">
        <f>ROUND(M258-N258,2)</f>
        <v/>
      </c>
      <c r="P258" s="23">
        <f>ROUND(R257*(1+F$7/12),2)</f>
        <v/>
      </c>
      <c r="Q258" s="23">
        <f>MIN(F$8,P258)+MAX(0,MIN(P258-MIN(F$8,P258),$C258-((H258-MIN(C$8,G258))+(K258-MIN(D$8,J258))+(N258-MIN(E$8,M258)))))</f>
        <v/>
      </c>
      <c r="R258" s="23">
        <f>ROUND(P258-Q258,2)</f>
        <v/>
      </c>
      <c r="S258" s="23">
        <f>ROUND(U257*(1+G$7/12),2)</f>
        <v/>
      </c>
      <c r="T258" s="23">
        <f>MIN(G$8,S258)+MAX(0,MIN(S258-MIN(G$8,S258),$C258-((H258-MIN(C$8,G258))+(K258-MIN(D$8,J258))+(N258-MIN(E$8,M258))+(Q258-MIN(F$8,P258)))))</f>
        <v/>
      </c>
      <c r="U258" s="23">
        <f>ROUND(S258-T258,2)</f>
        <v/>
      </c>
    </row>
    <row r="259">
      <c r="A259" t="n">
        <v>248</v>
      </c>
      <c r="B259" s="22">
        <f>EDATE(Debts!$B$5,247)</f>
        <v/>
      </c>
      <c r="C259" s="23">
        <f>MAX(0,Debts!$B$6-(MIN(C$8,G259)+MIN(D$8,J259)+MIN(E$8,M259)+MIN(F$8,P259)+MIN(G$8,S259)))</f>
        <v/>
      </c>
      <c r="D259" s="23">
        <f>H259+K259+N259+Q259+T259</f>
        <v/>
      </c>
      <c r="E259" s="23">
        <f>I259+L259+O259+R259+U259</f>
        <v/>
      </c>
      <c r="F259" s="23" t="n"/>
      <c r="G259" s="23">
        <f>ROUND(I258*(1+C$7/12),2)</f>
        <v/>
      </c>
      <c r="H259" s="23">
        <f>MIN(C$8,G259)+MAX(0,MIN(G259-MIN(C$8,G259),$C259-(0)))</f>
        <v/>
      </c>
      <c r="I259" s="23">
        <f>ROUND(G259-H259,2)</f>
        <v/>
      </c>
      <c r="J259" s="23">
        <f>ROUND(L258*(1+D$7/12),2)</f>
        <v/>
      </c>
      <c r="K259" s="23">
        <f>MIN(D$8,J259)+MAX(0,MIN(J259-MIN(D$8,J259),$C259-((H259-MIN(C$8,G259)))))</f>
        <v/>
      </c>
      <c r="L259" s="23">
        <f>ROUND(J259-K259,2)</f>
        <v/>
      </c>
      <c r="M259" s="23">
        <f>ROUND(O258*(1+E$7/12),2)</f>
        <v/>
      </c>
      <c r="N259" s="23">
        <f>MIN(E$8,M259)+MAX(0,MIN(M259-MIN(E$8,M259),$C259-((H259-MIN(C$8,G259))+(K259-MIN(D$8,J259)))))</f>
        <v/>
      </c>
      <c r="O259" s="23">
        <f>ROUND(M259-N259,2)</f>
        <v/>
      </c>
      <c r="P259" s="23">
        <f>ROUND(R258*(1+F$7/12),2)</f>
        <v/>
      </c>
      <c r="Q259" s="23">
        <f>MIN(F$8,P259)+MAX(0,MIN(P259-MIN(F$8,P259),$C259-((H259-MIN(C$8,G259))+(K259-MIN(D$8,J259))+(N259-MIN(E$8,M259)))))</f>
        <v/>
      </c>
      <c r="R259" s="23">
        <f>ROUND(P259-Q259,2)</f>
        <v/>
      </c>
      <c r="S259" s="23">
        <f>ROUND(U258*(1+G$7/12),2)</f>
        <v/>
      </c>
      <c r="T259" s="23">
        <f>MIN(G$8,S259)+MAX(0,MIN(S259-MIN(G$8,S259),$C259-((H259-MIN(C$8,G259))+(K259-MIN(D$8,J259))+(N259-MIN(E$8,M259))+(Q259-MIN(F$8,P259)))))</f>
        <v/>
      </c>
      <c r="U259" s="23">
        <f>ROUND(S259-T259,2)</f>
        <v/>
      </c>
    </row>
    <row r="260">
      <c r="A260" t="n">
        <v>249</v>
      </c>
      <c r="B260" s="22">
        <f>EDATE(Debts!$B$5,248)</f>
        <v/>
      </c>
      <c r="C260" s="23">
        <f>MAX(0,Debts!$B$6-(MIN(C$8,G260)+MIN(D$8,J260)+MIN(E$8,M260)+MIN(F$8,P260)+MIN(G$8,S260)))</f>
        <v/>
      </c>
      <c r="D260" s="23">
        <f>H260+K260+N260+Q260+T260</f>
        <v/>
      </c>
      <c r="E260" s="23">
        <f>I260+L260+O260+R260+U260</f>
        <v/>
      </c>
      <c r="F260" s="23" t="n"/>
      <c r="G260" s="23">
        <f>ROUND(I259*(1+C$7/12),2)</f>
        <v/>
      </c>
      <c r="H260" s="23">
        <f>MIN(C$8,G260)+MAX(0,MIN(G260-MIN(C$8,G260),$C260-(0)))</f>
        <v/>
      </c>
      <c r="I260" s="23">
        <f>ROUND(G260-H260,2)</f>
        <v/>
      </c>
      <c r="J260" s="23">
        <f>ROUND(L259*(1+D$7/12),2)</f>
        <v/>
      </c>
      <c r="K260" s="23">
        <f>MIN(D$8,J260)+MAX(0,MIN(J260-MIN(D$8,J260),$C260-((H260-MIN(C$8,G260)))))</f>
        <v/>
      </c>
      <c r="L260" s="23">
        <f>ROUND(J260-K260,2)</f>
        <v/>
      </c>
      <c r="M260" s="23">
        <f>ROUND(O259*(1+E$7/12),2)</f>
        <v/>
      </c>
      <c r="N260" s="23">
        <f>MIN(E$8,M260)+MAX(0,MIN(M260-MIN(E$8,M260),$C260-((H260-MIN(C$8,G260))+(K260-MIN(D$8,J260)))))</f>
        <v/>
      </c>
      <c r="O260" s="23">
        <f>ROUND(M260-N260,2)</f>
        <v/>
      </c>
      <c r="P260" s="23">
        <f>ROUND(R259*(1+F$7/12),2)</f>
        <v/>
      </c>
      <c r="Q260" s="23">
        <f>MIN(F$8,P260)+MAX(0,MIN(P260-MIN(F$8,P260),$C260-((H260-MIN(C$8,G260))+(K260-MIN(D$8,J260))+(N260-MIN(E$8,M260)))))</f>
        <v/>
      </c>
      <c r="R260" s="23">
        <f>ROUND(P260-Q260,2)</f>
        <v/>
      </c>
      <c r="S260" s="23">
        <f>ROUND(U259*(1+G$7/12),2)</f>
        <v/>
      </c>
      <c r="T260" s="23">
        <f>MIN(G$8,S260)+MAX(0,MIN(S260-MIN(G$8,S260),$C260-((H260-MIN(C$8,G260))+(K260-MIN(D$8,J260))+(N260-MIN(E$8,M260))+(Q260-MIN(F$8,P260)))))</f>
        <v/>
      </c>
      <c r="U260" s="23">
        <f>ROUND(S260-T260,2)</f>
        <v/>
      </c>
    </row>
    <row r="261">
      <c r="A261" t="n">
        <v>250</v>
      </c>
      <c r="B261" s="22">
        <f>EDATE(Debts!$B$5,249)</f>
        <v/>
      </c>
      <c r="C261" s="23">
        <f>MAX(0,Debts!$B$6-(MIN(C$8,G261)+MIN(D$8,J261)+MIN(E$8,M261)+MIN(F$8,P261)+MIN(G$8,S261)))</f>
        <v/>
      </c>
      <c r="D261" s="23">
        <f>H261+K261+N261+Q261+T261</f>
        <v/>
      </c>
      <c r="E261" s="23">
        <f>I261+L261+O261+R261+U261</f>
        <v/>
      </c>
      <c r="F261" s="23" t="n"/>
      <c r="G261" s="23">
        <f>ROUND(I260*(1+C$7/12),2)</f>
        <v/>
      </c>
      <c r="H261" s="23">
        <f>MIN(C$8,G261)+MAX(0,MIN(G261-MIN(C$8,G261),$C261-(0)))</f>
        <v/>
      </c>
      <c r="I261" s="23">
        <f>ROUND(G261-H261,2)</f>
        <v/>
      </c>
      <c r="J261" s="23">
        <f>ROUND(L260*(1+D$7/12),2)</f>
        <v/>
      </c>
      <c r="K261" s="23">
        <f>MIN(D$8,J261)+MAX(0,MIN(J261-MIN(D$8,J261),$C261-((H261-MIN(C$8,G261)))))</f>
        <v/>
      </c>
      <c r="L261" s="23">
        <f>ROUND(J261-K261,2)</f>
        <v/>
      </c>
      <c r="M261" s="23">
        <f>ROUND(O260*(1+E$7/12),2)</f>
        <v/>
      </c>
      <c r="N261" s="23">
        <f>MIN(E$8,M261)+MAX(0,MIN(M261-MIN(E$8,M261),$C261-((H261-MIN(C$8,G261))+(K261-MIN(D$8,J261)))))</f>
        <v/>
      </c>
      <c r="O261" s="23">
        <f>ROUND(M261-N261,2)</f>
        <v/>
      </c>
      <c r="P261" s="23">
        <f>ROUND(R260*(1+F$7/12),2)</f>
        <v/>
      </c>
      <c r="Q261" s="23">
        <f>MIN(F$8,P261)+MAX(0,MIN(P261-MIN(F$8,P261),$C261-((H261-MIN(C$8,G261))+(K261-MIN(D$8,J261))+(N261-MIN(E$8,M261)))))</f>
        <v/>
      </c>
      <c r="R261" s="23">
        <f>ROUND(P261-Q261,2)</f>
        <v/>
      </c>
      <c r="S261" s="23">
        <f>ROUND(U260*(1+G$7/12),2)</f>
        <v/>
      </c>
      <c r="T261" s="23">
        <f>MIN(G$8,S261)+MAX(0,MIN(S261-MIN(G$8,S261),$C261-((H261-MIN(C$8,G261))+(K261-MIN(D$8,J261))+(N261-MIN(E$8,M261))+(Q261-MIN(F$8,P261)))))</f>
        <v/>
      </c>
      <c r="U261" s="23">
        <f>ROUND(S261-T261,2)</f>
        <v/>
      </c>
    </row>
    <row r="262">
      <c r="A262" t="n">
        <v>251</v>
      </c>
      <c r="B262" s="22">
        <f>EDATE(Debts!$B$5,250)</f>
        <v/>
      </c>
      <c r="C262" s="23">
        <f>MAX(0,Debts!$B$6-(MIN(C$8,G262)+MIN(D$8,J262)+MIN(E$8,M262)+MIN(F$8,P262)+MIN(G$8,S262)))</f>
        <v/>
      </c>
      <c r="D262" s="23">
        <f>H262+K262+N262+Q262+T262</f>
        <v/>
      </c>
      <c r="E262" s="23">
        <f>I262+L262+O262+R262+U262</f>
        <v/>
      </c>
      <c r="F262" s="23" t="n"/>
      <c r="G262" s="23">
        <f>ROUND(I261*(1+C$7/12),2)</f>
        <v/>
      </c>
      <c r="H262" s="23">
        <f>MIN(C$8,G262)+MAX(0,MIN(G262-MIN(C$8,G262),$C262-(0)))</f>
        <v/>
      </c>
      <c r="I262" s="23">
        <f>ROUND(G262-H262,2)</f>
        <v/>
      </c>
      <c r="J262" s="23">
        <f>ROUND(L261*(1+D$7/12),2)</f>
        <v/>
      </c>
      <c r="K262" s="23">
        <f>MIN(D$8,J262)+MAX(0,MIN(J262-MIN(D$8,J262),$C262-((H262-MIN(C$8,G262)))))</f>
        <v/>
      </c>
      <c r="L262" s="23">
        <f>ROUND(J262-K262,2)</f>
        <v/>
      </c>
      <c r="M262" s="23">
        <f>ROUND(O261*(1+E$7/12),2)</f>
        <v/>
      </c>
      <c r="N262" s="23">
        <f>MIN(E$8,M262)+MAX(0,MIN(M262-MIN(E$8,M262),$C262-((H262-MIN(C$8,G262))+(K262-MIN(D$8,J262)))))</f>
        <v/>
      </c>
      <c r="O262" s="23">
        <f>ROUND(M262-N262,2)</f>
        <v/>
      </c>
      <c r="P262" s="23">
        <f>ROUND(R261*(1+F$7/12),2)</f>
        <v/>
      </c>
      <c r="Q262" s="23">
        <f>MIN(F$8,P262)+MAX(0,MIN(P262-MIN(F$8,P262),$C262-((H262-MIN(C$8,G262))+(K262-MIN(D$8,J262))+(N262-MIN(E$8,M262)))))</f>
        <v/>
      </c>
      <c r="R262" s="23">
        <f>ROUND(P262-Q262,2)</f>
        <v/>
      </c>
      <c r="S262" s="23">
        <f>ROUND(U261*(1+G$7/12),2)</f>
        <v/>
      </c>
      <c r="T262" s="23">
        <f>MIN(G$8,S262)+MAX(0,MIN(S262-MIN(G$8,S262),$C262-((H262-MIN(C$8,G262))+(K262-MIN(D$8,J262))+(N262-MIN(E$8,M262))+(Q262-MIN(F$8,P262)))))</f>
        <v/>
      </c>
      <c r="U262" s="23">
        <f>ROUND(S262-T262,2)</f>
        <v/>
      </c>
    </row>
    <row r="263">
      <c r="A263" t="n">
        <v>252</v>
      </c>
      <c r="B263" s="22">
        <f>EDATE(Debts!$B$5,251)</f>
        <v/>
      </c>
      <c r="C263" s="23">
        <f>MAX(0,Debts!$B$6-(MIN(C$8,G263)+MIN(D$8,J263)+MIN(E$8,M263)+MIN(F$8,P263)+MIN(G$8,S263)))</f>
        <v/>
      </c>
      <c r="D263" s="23">
        <f>H263+K263+N263+Q263+T263</f>
        <v/>
      </c>
      <c r="E263" s="23">
        <f>I263+L263+O263+R263+U263</f>
        <v/>
      </c>
      <c r="F263" s="23" t="n"/>
      <c r="G263" s="23">
        <f>ROUND(I262*(1+C$7/12),2)</f>
        <v/>
      </c>
      <c r="H263" s="23">
        <f>MIN(C$8,G263)+MAX(0,MIN(G263-MIN(C$8,G263),$C263-(0)))</f>
        <v/>
      </c>
      <c r="I263" s="23">
        <f>ROUND(G263-H263,2)</f>
        <v/>
      </c>
      <c r="J263" s="23">
        <f>ROUND(L262*(1+D$7/12),2)</f>
        <v/>
      </c>
      <c r="K263" s="23">
        <f>MIN(D$8,J263)+MAX(0,MIN(J263-MIN(D$8,J263),$C263-((H263-MIN(C$8,G263)))))</f>
        <v/>
      </c>
      <c r="L263" s="23">
        <f>ROUND(J263-K263,2)</f>
        <v/>
      </c>
      <c r="M263" s="23">
        <f>ROUND(O262*(1+E$7/12),2)</f>
        <v/>
      </c>
      <c r="N263" s="23">
        <f>MIN(E$8,M263)+MAX(0,MIN(M263-MIN(E$8,M263),$C263-((H263-MIN(C$8,G263))+(K263-MIN(D$8,J263)))))</f>
        <v/>
      </c>
      <c r="O263" s="23">
        <f>ROUND(M263-N263,2)</f>
        <v/>
      </c>
      <c r="P263" s="23">
        <f>ROUND(R262*(1+F$7/12),2)</f>
        <v/>
      </c>
      <c r="Q263" s="23">
        <f>MIN(F$8,P263)+MAX(0,MIN(P263-MIN(F$8,P263),$C263-((H263-MIN(C$8,G263))+(K263-MIN(D$8,J263))+(N263-MIN(E$8,M263)))))</f>
        <v/>
      </c>
      <c r="R263" s="23">
        <f>ROUND(P263-Q263,2)</f>
        <v/>
      </c>
      <c r="S263" s="23">
        <f>ROUND(U262*(1+G$7/12),2)</f>
        <v/>
      </c>
      <c r="T263" s="23">
        <f>MIN(G$8,S263)+MAX(0,MIN(S263-MIN(G$8,S263),$C263-((H263-MIN(C$8,G263))+(K263-MIN(D$8,J263))+(N263-MIN(E$8,M263))+(Q263-MIN(F$8,P263)))))</f>
        <v/>
      </c>
      <c r="U263" s="23">
        <f>ROUND(S263-T263,2)</f>
        <v/>
      </c>
    </row>
    <row r="264">
      <c r="A264" t="n">
        <v>253</v>
      </c>
      <c r="B264" s="22">
        <f>EDATE(Debts!$B$5,252)</f>
        <v/>
      </c>
      <c r="C264" s="23">
        <f>MAX(0,Debts!$B$6-(MIN(C$8,G264)+MIN(D$8,J264)+MIN(E$8,M264)+MIN(F$8,P264)+MIN(G$8,S264)))</f>
        <v/>
      </c>
      <c r="D264" s="23">
        <f>H264+K264+N264+Q264+T264</f>
        <v/>
      </c>
      <c r="E264" s="23">
        <f>I264+L264+O264+R264+U264</f>
        <v/>
      </c>
      <c r="F264" s="23" t="n"/>
      <c r="G264" s="23">
        <f>ROUND(I263*(1+C$7/12),2)</f>
        <v/>
      </c>
      <c r="H264" s="23">
        <f>MIN(C$8,G264)+MAX(0,MIN(G264-MIN(C$8,G264),$C264-(0)))</f>
        <v/>
      </c>
      <c r="I264" s="23">
        <f>ROUND(G264-H264,2)</f>
        <v/>
      </c>
      <c r="J264" s="23">
        <f>ROUND(L263*(1+D$7/12),2)</f>
        <v/>
      </c>
      <c r="K264" s="23">
        <f>MIN(D$8,J264)+MAX(0,MIN(J264-MIN(D$8,J264),$C264-((H264-MIN(C$8,G264)))))</f>
        <v/>
      </c>
      <c r="L264" s="23">
        <f>ROUND(J264-K264,2)</f>
        <v/>
      </c>
      <c r="M264" s="23">
        <f>ROUND(O263*(1+E$7/12),2)</f>
        <v/>
      </c>
      <c r="N264" s="23">
        <f>MIN(E$8,M264)+MAX(0,MIN(M264-MIN(E$8,M264),$C264-((H264-MIN(C$8,G264))+(K264-MIN(D$8,J264)))))</f>
        <v/>
      </c>
      <c r="O264" s="23">
        <f>ROUND(M264-N264,2)</f>
        <v/>
      </c>
      <c r="P264" s="23">
        <f>ROUND(R263*(1+F$7/12),2)</f>
        <v/>
      </c>
      <c r="Q264" s="23">
        <f>MIN(F$8,P264)+MAX(0,MIN(P264-MIN(F$8,P264),$C264-((H264-MIN(C$8,G264))+(K264-MIN(D$8,J264))+(N264-MIN(E$8,M264)))))</f>
        <v/>
      </c>
      <c r="R264" s="23">
        <f>ROUND(P264-Q264,2)</f>
        <v/>
      </c>
      <c r="S264" s="23">
        <f>ROUND(U263*(1+G$7/12),2)</f>
        <v/>
      </c>
      <c r="T264" s="23">
        <f>MIN(G$8,S264)+MAX(0,MIN(S264-MIN(G$8,S264),$C264-((H264-MIN(C$8,G264))+(K264-MIN(D$8,J264))+(N264-MIN(E$8,M264))+(Q264-MIN(F$8,P264)))))</f>
        <v/>
      </c>
      <c r="U264" s="23">
        <f>ROUND(S264-T264,2)</f>
        <v/>
      </c>
    </row>
    <row r="265">
      <c r="A265" t="n">
        <v>254</v>
      </c>
      <c r="B265" s="22">
        <f>EDATE(Debts!$B$5,253)</f>
        <v/>
      </c>
      <c r="C265" s="23">
        <f>MAX(0,Debts!$B$6-(MIN(C$8,G265)+MIN(D$8,J265)+MIN(E$8,M265)+MIN(F$8,P265)+MIN(G$8,S265)))</f>
        <v/>
      </c>
      <c r="D265" s="23">
        <f>H265+K265+N265+Q265+T265</f>
        <v/>
      </c>
      <c r="E265" s="23">
        <f>I265+L265+O265+R265+U265</f>
        <v/>
      </c>
      <c r="F265" s="23" t="n"/>
      <c r="G265" s="23">
        <f>ROUND(I264*(1+C$7/12),2)</f>
        <v/>
      </c>
      <c r="H265" s="23">
        <f>MIN(C$8,G265)+MAX(0,MIN(G265-MIN(C$8,G265),$C265-(0)))</f>
        <v/>
      </c>
      <c r="I265" s="23">
        <f>ROUND(G265-H265,2)</f>
        <v/>
      </c>
      <c r="J265" s="23">
        <f>ROUND(L264*(1+D$7/12),2)</f>
        <v/>
      </c>
      <c r="K265" s="23">
        <f>MIN(D$8,J265)+MAX(0,MIN(J265-MIN(D$8,J265),$C265-((H265-MIN(C$8,G265)))))</f>
        <v/>
      </c>
      <c r="L265" s="23">
        <f>ROUND(J265-K265,2)</f>
        <v/>
      </c>
      <c r="M265" s="23">
        <f>ROUND(O264*(1+E$7/12),2)</f>
        <v/>
      </c>
      <c r="N265" s="23">
        <f>MIN(E$8,M265)+MAX(0,MIN(M265-MIN(E$8,M265),$C265-((H265-MIN(C$8,G265))+(K265-MIN(D$8,J265)))))</f>
        <v/>
      </c>
      <c r="O265" s="23">
        <f>ROUND(M265-N265,2)</f>
        <v/>
      </c>
      <c r="P265" s="23">
        <f>ROUND(R264*(1+F$7/12),2)</f>
        <v/>
      </c>
      <c r="Q265" s="23">
        <f>MIN(F$8,P265)+MAX(0,MIN(P265-MIN(F$8,P265),$C265-((H265-MIN(C$8,G265))+(K265-MIN(D$8,J265))+(N265-MIN(E$8,M265)))))</f>
        <v/>
      </c>
      <c r="R265" s="23">
        <f>ROUND(P265-Q265,2)</f>
        <v/>
      </c>
      <c r="S265" s="23">
        <f>ROUND(U264*(1+G$7/12),2)</f>
        <v/>
      </c>
      <c r="T265" s="23">
        <f>MIN(G$8,S265)+MAX(0,MIN(S265-MIN(G$8,S265),$C265-((H265-MIN(C$8,G265))+(K265-MIN(D$8,J265))+(N265-MIN(E$8,M265))+(Q265-MIN(F$8,P265)))))</f>
        <v/>
      </c>
      <c r="U265" s="23">
        <f>ROUND(S265-T265,2)</f>
        <v/>
      </c>
    </row>
    <row r="266">
      <c r="A266" t="n">
        <v>255</v>
      </c>
      <c r="B266" s="22">
        <f>EDATE(Debts!$B$5,254)</f>
        <v/>
      </c>
      <c r="C266" s="23">
        <f>MAX(0,Debts!$B$6-(MIN(C$8,G266)+MIN(D$8,J266)+MIN(E$8,M266)+MIN(F$8,P266)+MIN(G$8,S266)))</f>
        <v/>
      </c>
      <c r="D266" s="23">
        <f>H266+K266+N266+Q266+T266</f>
        <v/>
      </c>
      <c r="E266" s="23">
        <f>I266+L266+O266+R266+U266</f>
        <v/>
      </c>
      <c r="F266" s="23" t="n"/>
      <c r="G266" s="23">
        <f>ROUND(I265*(1+C$7/12),2)</f>
        <v/>
      </c>
      <c r="H266" s="23">
        <f>MIN(C$8,G266)+MAX(0,MIN(G266-MIN(C$8,G266),$C266-(0)))</f>
        <v/>
      </c>
      <c r="I266" s="23">
        <f>ROUND(G266-H266,2)</f>
        <v/>
      </c>
      <c r="J266" s="23">
        <f>ROUND(L265*(1+D$7/12),2)</f>
        <v/>
      </c>
      <c r="K266" s="23">
        <f>MIN(D$8,J266)+MAX(0,MIN(J266-MIN(D$8,J266),$C266-((H266-MIN(C$8,G266)))))</f>
        <v/>
      </c>
      <c r="L266" s="23">
        <f>ROUND(J266-K266,2)</f>
        <v/>
      </c>
      <c r="M266" s="23">
        <f>ROUND(O265*(1+E$7/12),2)</f>
        <v/>
      </c>
      <c r="N266" s="23">
        <f>MIN(E$8,M266)+MAX(0,MIN(M266-MIN(E$8,M266),$C266-((H266-MIN(C$8,G266))+(K266-MIN(D$8,J266)))))</f>
        <v/>
      </c>
      <c r="O266" s="23">
        <f>ROUND(M266-N266,2)</f>
        <v/>
      </c>
      <c r="P266" s="23">
        <f>ROUND(R265*(1+F$7/12),2)</f>
        <v/>
      </c>
      <c r="Q266" s="23">
        <f>MIN(F$8,P266)+MAX(0,MIN(P266-MIN(F$8,P266),$C266-((H266-MIN(C$8,G266))+(K266-MIN(D$8,J266))+(N266-MIN(E$8,M266)))))</f>
        <v/>
      </c>
      <c r="R266" s="23">
        <f>ROUND(P266-Q266,2)</f>
        <v/>
      </c>
      <c r="S266" s="23">
        <f>ROUND(U265*(1+G$7/12),2)</f>
        <v/>
      </c>
      <c r="T266" s="23">
        <f>MIN(G$8,S266)+MAX(0,MIN(S266-MIN(G$8,S266),$C266-((H266-MIN(C$8,G266))+(K266-MIN(D$8,J266))+(N266-MIN(E$8,M266))+(Q266-MIN(F$8,P266)))))</f>
        <v/>
      </c>
      <c r="U266" s="23">
        <f>ROUND(S266-T266,2)</f>
        <v/>
      </c>
    </row>
    <row r="267">
      <c r="A267" t="n">
        <v>256</v>
      </c>
      <c r="B267" s="22">
        <f>EDATE(Debts!$B$5,255)</f>
        <v/>
      </c>
      <c r="C267" s="23">
        <f>MAX(0,Debts!$B$6-(MIN(C$8,G267)+MIN(D$8,J267)+MIN(E$8,M267)+MIN(F$8,P267)+MIN(G$8,S267)))</f>
        <v/>
      </c>
      <c r="D267" s="23">
        <f>H267+K267+N267+Q267+T267</f>
        <v/>
      </c>
      <c r="E267" s="23">
        <f>I267+L267+O267+R267+U267</f>
        <v/>
      </c>
      <c r="F267" s="23" t="n"/>
      <c r="G267" s="23">
        <f>ROUND(I266*(1+C$7/12),2)</f>
        <v/>
      </c>
      <c r="H267" s="23">
        <f>MIN(C$8,G267)+MAX(0,MIN(G267-MIN(C$8,G267),$C267-(0)))</f>
        <v/>
      </c>
      <c r="I267" s="23">
        <f>ROUND(G267-H267,2)</f>
        <v/>
      </c>
      <c r="J267" s="23">
        <f>ROUND(L266*(1+D$7/12),2)</f>
        <v/>
      </c>
      <c r="K267" s="23">
        <f>MIN(D$8,J267)+MAX(0,MIN(J267-MIN(D$8,J267),$C267-((H267-MIN(C$8,G267)))))</f>
        <v/>
      </c>
      <c r="L267" s="23">
        <f>ROUND(J267-K267,2)</f>
        <v/>
      </c>
      <c r="M267" s="23">
        <f>ROUND(O266*(1+E$7/12),2)</f>
        <v/>
      </c>
      <c r="N267" s="23">
        <f>MIN(E$8,M267)+MAX(0,MIN(M267-MIN(E$8,M267),$C267-((H267-MIN(C$8,G267))+(K267-MIN(D$8,J267)))))</f>
        <v/>
      </c>
      <c r="O267" s="23">
        <f>ROUND(M267-N267,2)</f>
        <v/>
      </c>
      <c r="P267" s="23">
        <f>ROUND(R266*(1+F$7/12),2)</f>
        <v/>
      </c>
      <c r="Q267" s="23">
        <f>MIN(F$8,P267)+MAX(0,MIN(P267-MIN(F$8,P267),$C267-((H267-MIN(C$8,G267))+(K267-MIN(D$8,J267))+(N267-MIN(E$8,M267)))))</f>
        <v/>
      </c>
      <c r="R267" s="23">
        <f>ROUND(P267-Q267,2)</f>
        <v/>
      </c>
      <c r="S267" s="23">
        <f>ROUND(U266*(1+G$7/12),2)</f>
        <v/>
      </c>
      <c r="T267" s="23">
        <f>MIN(G$8,S267)+MAX(0,MIN(S267-MIN(G$8,S267),$C267-((H267-MIN(C$8,G267))+(K267-MIN(D$8,J267))+(N267-MIN(E$8,M267))+(Q267-MIN(F$8,P267)))))</f>
        <v/>
      </c>
      <c r="U267" s="23">
        <f>ROUND(S267-T267,2)</f>
        <v/>
      </c>
    </row>
    <row r="268">
      <c r="A268" t="n">
        <v>257</v>
      </c>
      <c r="B268" s="22">
        <f>EDATE(Debts!$B$5,256)</f>
        <v/>
      </c>
      <c r="C268" s="23">
        <f>MAX(0,Debts!$B$6-(MIN(C$8,G268)+MIN(D$8,J268)+MIN(E$8,M268)+MIN(F$8,P268)+MIN(G$8,S268)))</f>
        <v/>
      </c>
      <c r="D268" s="23">
        <f>H268+K268+N268+Q268+T268</f>
        <v/>
      </c>
      <c r="E268" s="23">
        <f>I268+L268+O268+R268+U268</f>
        <v/>
      </c>
      <c r="F268" s="23" t="n"/>
      <c r="G268" s="23">
        <f>ROUND(I267*(1+C$7/12),2)</f>
        <v/>
      </c>
      <c r="H268" s="23">
        <f>MIN(C$8,G268)+MAX(0,MIN(G268-MIN(C$8,G268),$C268-(0)))</f>
        <v/>
      </c>
      <c r="I268" s="23">
        <f>ROUND(G268-H268,2)</f>
        <v/>
      </c>
      <c r="J268" s="23">
        <f>ROUND(L267*(1+D$7/12),2)</f>
        <v/>
      </c>
      <c r="K268" s="23">
        <f>MIN(D$8,J268)+MAX(0,MIN(J268-MIN(D$8,J268),$C268-((H268-MIN(C$8,G268)))))</f>
        <v/>
      </c>
      <c r="L268" s="23">
        <f>ROUND(J268-K268,2)</f>
        <v/>
      </c>
      <c r="M268" s="23">
        <f>ROUND(O267*(1+E$7/12),2)</f>
        <v/>
      </c>
      <c r="N268" s="23">
        <f>MIN(E$8,M268)+MAX(0,MIN(M268-MIN(E$8,M268),$C268-((H268-MIN(C$8,G268))+(K268-MIN(D$8,J268)))))</f>
        <v/>
      </c>
      <c r="O268" s="23">
        <f>ROUND(M268-N268,2)</f>
        <v/>
      </c>
      <c r="P268" s="23">
        <f>ROUND(R267*(1+F$7/12),2)</f>
        <v/>
      </c>
      <c r="Q268" s="23">
        <f>MIN(F$8,P268)+MAX(0,MIN(P268-MIN(F$8,P268),$C268-((H268-MIN(C$8,G268))+(K268-MIN(D$8,J268))+(N268-MIN(E$8,M268)))))</f>
        <v/>
      </c>
      <c r="R268" s="23">
        <f>ROUND(P268-Q268,2)</f>
        <v/>
      </c>
      <c r="S268" s="23">
        <f>ROUND(U267*(1+G$7/12),2)</f>
        <v/>
      </c>
      <c r="T268" s="23">
        <f>MIN(G$8,S268)+MAX(0,MIN(S268-MIN(G$8,S268),$C268-((H268-MIN(C$8,G268))+(K268-MIN(D$8,J268))+(N268-MIN(E$8,M268))+(Q268-MIN(F$8,P268)))))</f>
        <v/>
      </c>
      <c r="U268" s="23">
        <f>ROUND(S268-T268,2)</f>
        <v/>
      </c>
    </row>
    <row r="269">
      <c r="A269" t="n">
        <v>258</v>
      </c>
      <c r="B269" s="22">
        <f>EDATE(Debts!$B$5,257)</f>
        <v/>
      </c>
      <c r="C269" s="23">
        <f>MAX(0,Debts!$B$6-(MIN(C$8,G269)+MIN(D$8,J269)+MIN(E$8,M269)+MIN(F$8,P269)+MIN(G$8,S269)))</f>
        <v/>
      </c>
      <c r="D269" s="23">
        <f>H269+K269+N269+Q269+T269</f>
        <v/>
      </c>
      <c r="E269" s="23">
        <f>I269+L269+O269+R269+U269</f>
        <v/>
      </c>
      <c r="F269" s="23" t="n"/>
      <c r="G269" s="23">
        <f>ROUND(I268*(1+C$7/12),2)</f>
        <v/>
      </c>
      <c r="H269" s="23">
        <f>MIN(C$8,G269)+MAX(0,MIN(G269-MIN(C$8,G269),$C269-(0)))</f>
        <v/>
      </c>
      <c r="I269" s="23">
        <f>ROUND(G269-H269,2)</f>
        <v/>
      </c>
      <c r="J269" s="23">
        <f>ROUND(L268*(1+D$7/12),2)</f>
        <v/>
      </c>
      <c r="K269" s="23">
        <f>MIN(D$8,J269)+MAX(0,MIN(J269-MIN(D$8,J269),$C269-((H269-MIN(C$8,G269)))))</f>
        <v/>
      </c>
      <c r="L269" s="23">
        <f>ROUND(J269-K269,2)</f>
        <v/>
      </c>
      <c r="M269" s="23">
        <f>ROUND(O268*(1+E$7/12),2)</f>
        <v/>
      </c>
      <c r="N269" s="23">
        <f>MIN(E$8,M269)+MAX(0,MIN(M269-MIN(E$8,M269),$C269-((H269-MIN(C$8,G269))+(K269-MIN(D$8,J269)))))</f>
        <v/>
      </c>
      <c r="O269" s="23">
        <f>ROUND(M269-N269,2)</f>
        <v/>
      </c>
      <c r="P269" s="23">
        <f>ROUND(R268*(1+F$7/12),2)</f>
        <v/>
      </c>
      <c r="Q269" s="23">
        <f>MIN(F$8,P269)+MAX(0,MIN(P269-MIN(F$8,P269),$C269-((H269-MIN(C$8,G269))+(K269-MIN(D$8,J269))+(N269-MIN(E$8,M269)))))</f>
        <v/>
      </c>
      <c r="R269" s="23">
        <f>ROUND(P269-Q269,2)</f>
        <v/>
      </c>
      <c r="S269" s="23">
        <f>ROUND(U268*(1+G$7/12),2)</f>
        <v/>
      </c>
      <c r="T269" s="23">
        <f>MIN(G$8,S269)+MAX(0,MIN(S269-MIN(G$8,S269),$C269-((H269-MIN(C$8,G269))+(K269-MIN(D$8,J269))+(N269-MIN(E$8,M269))+(Q269-MIN(F$8,P269)))))</f>
        <v/>
      </c>
      <c r="U269" s="23">
        <f>ROUND(S269-T269,2)</f>
        <v/>
      </c>
    </row>
    <row r="270">
      <c r="A270" t="n">
        <v>259</v>
      </c>
      <c r="B270" s="22">
        <f>EDATE(Debts!$B$5,258)</f>
        <v/>
      </c>
      <c r="C270" s="23">
        <f>MAX(0,Debts!$B$6-(MIN(C$8,G270)+MIN(D$8,J270)+MIN(E$8,M270)+MIN(F$8,P270)+MIN(G$8,S270)))</f>
        <v/>
      </c>
      <c r="D270" s="23">
        <f>H270+K270+N270+Q270+T270</f>
        <v/>
      </c>
      <c r="E270" s="23">
        <f>I270+L270+O270+R270+U270</f>
        <v/>
      </c>
      <c r="F270" s="23" t="n"/>
      <c r="G270" s="23">
        <f>ROUND(I269*(1+C$7/12),2)</f>
        <v/>
      </c>
      <c r="H270" s="23">
        <f>MIN(C$8,G270)+MAX(0,MIN(G270-MIN(C$8,G270),$C270-(0)))</f>
        <v/>
      </c>
      <c r="I270" s="23">
        <f>ROUND(G270-H270,2)</f>
        <v/>
      </c>
      <c r="J270" s="23">
        <f>ROUND(L269*(1+D$7/12),2)</f>
        <v/>
      </c>
      <c r="K270" s="23">
        <f>MIN(D$8,J270)+MAX(0,MIN(J270-MIN(D$8,J270),$C270-((H270-MIN(C$8,G270)))))</f>
        <v/>
      </c>
      <c r="L270" s="23">
        <f>ROUND(J270-K270,2)</f>
        <v/>
      </c>
      <c r="M270" s="23">
        <f>ROUND(O269*(1+E$7/12),2)</f>
        <v/>
      </c>
      <c r="N270" s="23">
        <f>MIN(E$8,M270)+MAX(0,MIN(M270-MIN(E$8,M270),$C270-((H270-MIN(C$8,G270))+(K270-MIN(D$8,J270)))))</f>
        <v/>
      </c>
      <c r="O270" s="23">
        <f>ROUND(M270-N270,2)</f>
        <v/>
      </c>
      <c r="P270" s="23">
        <f>ROUND(R269*(1+F$7/12),2)</f>
        <v/>
      </c>
      <c r="Q270" s="23">
        <f>MIN(F$8,P270)+MAX(0,MIN(P270-MIN(F$8,P270),$C270-((H270-MIN(C$8,G270))+(K270-MIN(D$8,J270))+(N270-MIN(E$8,M270)))))</f>
        <v/>
      </c>
      <c r="R270" s="23">
        <f>ROUND(P270-Q270,2)</f>
        <v/>
      </c>
      <c r="S270" s="23">
        <f>ROUND(U269*(1+G$7/12),2)</f>
        <v/>
      </c>
      <c r="T270" s="23">
        <f>MIN(G$8,S270)+MAX(0,MIN(S270-MIN(G$8,S270),$C270-((H270-MIN(C$8,G270))+(K270-MIN(D$8,J270))+(N270-MIN(E$8,M270))+(Q270-MIN(F$8,P270)))))</f>
        <v/>
      </c>
      <c r="U270" s="23">
        <f>ROUND(S270-T270,2)</f>
        <v/>
      </c>
    </row>
    <row r="271">
      <c r="A271" t="n">
        <v>260</v>
      </c>
      <c r="B271" s="22">
        <f>EDATE(Debts!$B$5,259)</f>
        <v/>
      </c>
      <c r="C271" s="23">
        <f>MAX(0,Debts!$B$6-(MIN(C$8,G271)+MIN(D$8,J271)+MIN(E$8,M271)+MIN(F$8,P271)+MIN(G$8,S271)))</f>
        <v/>
      </c>
      <c r="D271" s="23">
        <f>H271+K271+N271+Q271+T271</f>
        <v/>
      </c>
      <c r="E271" s="23">
        <f>I271+L271+O271+R271+U271</f>
        <v/>
      </c>
      <c r="F271" s="23" t="n"/>
      <c r="G271" s="23">
        <f>ROUND(I270*(1+C$7/12),2)</f>
        <v/>
      </c>
      <c r="H271" s="23">
        <f>MIN(C$8,G271)+MAX(0,MIN(G271-MIN(C$8,G271),$C271-(0)))</f>
        <v/>
      </c>
      <c r="I271" s="23">
        <f>ROUND(G271-H271,2)</f>
        <v/>
      </c>
      <c r="J271" s="23">
        <f>ROUND(L270*(1+D$7/12),2)</f>
        <v/>
      </c>
      <c r="K271" s="23">
        <f>MIN(D$8,J271)+MAX(0,MIN(J271-MIN(D$8,J271),$C271-((H271-MIN(C$8,G271)))))</f>
        <v/>
      </c>
      <c r="L271" s="23">
        <f>ROUND(J271-K271,2)</f>
        <v/>
      </c>
      <c r="M271" s="23">
        <f>ROUND(O270*(1+E$7/12),2)</f>
        <v/>
      </c>
      <c r="N271" s="23">
        <f>MIN(E$8,M271)+MAX(0,MIN(M271-MIN(E$8,M271),$C271-((H271-MIN(C$8,G271))+(K271-MIN(D$8,J271)))))</f>
        <v/>
      </c>
      <c r="O271" s="23">
        <f>ROUND(M271-N271,2)</f>
        <v/>
      </c>
      <c r="P271" s="23">
        <f>ROUND(R270*(1+F$7/12),2)</f>
        <v/>
      </c>
      <c r="Q271" s="23">
        <f>MIN(F$8,P271)+MAX(0,MIN(P271-MIN(F$8,P271),$C271-((H271-MIN(C$8,G271))+(K271-MIN(D$8,J271))+(N271-MIN(E$8,M271)))))</f>
        <v/>
      </c>
      <c r="R271" s="23">
        <f>ROUND(P271-Q271,2)</f>
        <v/>
      </c>
      <c r="S271" s="23">
        <f>ROUND(U270*(1+G$7/12),2)</f>
        <v/>
      </c>
      <c r="T271" s="23">
        <f>MIN(G$8,S271)+MAX(0,MIN(S271-MIN(G$8,S271),$C271-((H271-MIN(C$8,G271))+(K271-MIN(D$8,J271))+(N271-MIN(E$8,M271))+(Q271-MIN(F$8,P271)))))</f>
        <v/>
      </c>
      <c r="U271" s="23">
        <f>ROUND(S271-T271,2)</f>
        <v/>
      </c>
    </row>
    <row r="272">
      <c r="A272" t="n">
        <v>261</v>
      </c>
      <c r="B272" s="22">
        <f>EDATE(Debts!$B$5,260)</f>
        <v/>
      </c>
      <c r="C272" s="23">
        <f>MAX(0,Debts!$B$6-(MIN(C$8,G272)+MIN(D$8,J272)+MIN(E$8,M272)+MIN(F$8,P272)+MIN(G$8,S272)))</f>
        <v/>
      </c>
      <c r="D272" s="23">
        <f>H272+K272+N272+Q272+T272</f>
        <v/>
      </c>
      <c r="E272" s="23">
        <f>I272+L272+O272+R272+U272</f>
        <v/>
      </c>
      <c r="F272" s="23" t="n"/>
      <c r="G272" s="23">
        <f>ROUND(I271*(1+C$7/12),2)</f>
        <v/>
      </c>
      <c r="H272" s="23">
        <f>MIN(C$8,G272)+MAX(0,MIN(G272-MIN(C$8,G272),$C272-(0)))</f>
        <v/>
      </c>
      <c r="I272" s="23">
        <f>ROUND(G272-H272,2)</f>
        <v/>
      </c>
      <c r="J272" s="23">
        <f>ROUND(L271*(1+D$7/12),2)</f>
        <v/>
      </c>
      <c r="K272" s="23">
        <f>MIN(D$8,J272)+MAX(0,MIN(J272-MIN(D$8,J272),$C272-((H272-MIN(C$8,G272)))))</f>
        <v/>
      </c>
      <c r="L272" s="23">
        <f>ROUND(J272-K272,2)</f>
        <v/>
      </c>
      <c r="M272" s="23">
        <f>ROUND(O271*(1+E$7/12),2)</f>
        <v/>
      </c>
      <c r="N272" s="23">
        <f>MIN(E$8,M272)+MAX(0,MIN(M272-MIN(E$8,M272),$C272-((H272-MIN(C$8,G272))+(K272-MIN(D$8,J272)))))</f>
        <v/>
      </c>
      <c r="O272" s="23">
        <f>ROUND(M272-N272,2)</f>
        <v/>
      </c>
      <c r="P272" s="23">
        <f>ROUND(R271*(1+F$7/12),2)</f>
        <v/>
      </c>
      <c r="Q272" s="23">
        <f>MIN(F$8,P272)+MAX(0,MIN(P272-MIN(F$8,P272),$C272-((H272-MIN(C$8,G272))+(K272-MIN(D$8,J272))+(N272-MIN(E$8,M272)))))</f>
        <v/>
      </c>
      <c r="R272" s="23">
        <f>ROUND(P272-Q272,2)</f>
        <v/>
      </c>
      <c r="S272" s="23">
        <f>ROUND(U271*(1+G$7/12),2)</f>
        <v/>
      </c>
      <c r="T272" s="23">
        <f>MIN(G$8,S272)+MAX(0,MIN(S272-MIN(G$8,S272),$C272-((H272-MIN(C$8,G272))+(K272-MIN(D$8,J272))+(N272-MIN(E$8,M272))+(Q272-MIN(F$8,P272)))))</f>
        <v/>
      </c>
      <c r="U272" s="23">
        <f>ROUND(S272-T272,2)</f>
        <v/>
      </c>
    </row>
    <row r="273">
      <c r="A273" t="n">
        <v>262</v>
      </c>
      <c r="B273" s="22">
        <f>EDATE(Debts!$B$5,261)</f>
        <v/>
      </c>
      <c r="C273" s="23">
        <f>MAX(0,Debts!$B$6-(MIN(C$8,G273)+MIN(D$8,J273)+MIN(E$8,M273)+MIN(F$8,P273)+MIN(G$8,S273)))</f>
        <v/>
      </c>
      <c r="D273" s="23">
        <f>H273+K273+N273+Q273+T273</f>
        <v/>
      </c>
      <c r="E273" s="23">
        <f>I273+L273+O273+R273+U273</f>
        <v/>
      </c>
      <c r="F273" s="23" t="n"/>
      <c r="G273" s="23">
        <f>ROUND(I272*(1+C$7/12),2)</f>
        <v/>
      </c>
      <c r="H273" s="23">
        <f>MIN(C$8,G273)+MAX(0,MIN(G273-MIN(C$8,G273),$C273-(0)))</f>
        <v/>
      </c>
      <c r="I273" s="23">
        <f>ROUND(G273-H273,2)</f>
        <v/>
      </c>
      <c r="J273" s="23">
        <f>ROUND(L272*(1+D$7/12),2)</f>
        <v/>
      </c>
      <c r="K273" s="23">
        <f>MIN(D$8,J273)+MAX(0,MIN(J273-MIN(D$8,J273),$C273-((H273-MIN(C$8,G273)))))</f>
        <v/>
      </c>
      <c r="L273" s="23">
        <f>ROUND(J273-K273,2)</f>
        <v/>
      </c>
      <c r="M273" s="23">
        <f>ROUND(O272*(1+E$7/12),2)</f>
        <v/>
      </c>
      <c r="N273" s="23">
        <f>MIN(E$8,M273)+MAX(0,MIN(M273-MIN(E$8,M273),$C273-((H273-MIN(C$8,G273))+(K273-MIN(D$8,J273)))))</f>
        <v/>
      </c>
      <c r="O273" s="23">
        <f>ROUND(M273-N273,2)</f>
        <v/>
      </c>
      <c r="P273" s="23">
        <f>ROUND(R272*(1+F$7/12),2)</f>
        <v/>
      </c>
      <c r="Q273" s="23">
        <f>MIN(F$8,P273)+MAX(0,MIN(P273-MIN(F$8,P273),$C273-((H273-MIN(C$8,G273))+(K273-MIN(D$8,J273))+(N273-MIN(E$8,M273)))))</f>
        <v/>
      </c>
      <c r="R273" s="23">
        <f>ROUND(P273-Q273,2)</f>
        <v/>
      </c>
      <c r="S273" s="23">
        <f>ROUND(U272*(1+G$7/12),2)</f>
        <v/>
      </c>
      <c r="T273" s="23">
        <f>MIN(G$8,S273)+MAX(0,MIN(S273-MIN(G$8,S273),$C273-((H273-MIN(C$8,G273))+(K273-MIN(D$8,J273))+(N273-MIN(E$8,M273))+(Q273-MIN(F$8,P273)))))</f>
        <v/>
      </c>
      <c r="U273" s="23">
        <f>ROUND(S273-T273,2)</f>
        <v/>
      </c>
    </row>
    <row r="274">
      <c r="A274" t="n">
        <v>263</v>
      </c>
      <c r="B274" s="22">
        <f>EDATE(Debts!$B$5,262)</f>
        <v/>
      </c>
      <c r="C274" s="23">
        <f>MAX(0,Debts!$B$6-(MIN(C$8,G274)+MIN(D$8,J274)+MIN(E$8,M274)+MIN(F$8,P274)+MIN(G$8,S274)))</f>
        <v/>
      </c>
      <c r="D274" s="23">
        <f>H274+K274+N274+Q274+T274</f>
        <v/>
      </c>
      <c r="E274" s="23">
        <f>I274+L274+O274+R274+U274</f>
        <v/>
      </c>
      <c r="F274" s="23" t="n"/>
      <c r="G274" s="23">
        <f>ROUND(I273*(1+C$7/12),2)</f>
        <v/>
      </c>
      <c r="H274" s="23">
        <f>MIN(C$8,G274)+MAX(0,MIN(G274-MIN(C$8,G274),$C274-(0)))</f>
        <v/>
      </c>
      <c r="I274" s="23">
        <f>ROUND(G274-H274,2)</f>
        <v/>
      </c>
      <c r="J274" s="23">
        <f>ROUND(L273*(1+D$7/12),2)</f>
        <v/>
      </c>
      <c r="K274" s="23">
        <f>MIN(D$8,J274)+MAX(0,MIN(J274-MIN(D$8,J274),$C274-((H274-MIN(C$8,G274)))))</f>
        <v/>
      </c>
      <c r="L274" s="23">
        <f>ROUND(J274-K274,2)</f>
        <v/>
      </c>
      <c r="M274" s="23">
        <f>ROUND(O273*(1+E$7/12),2)</f>
        <v/>
      </c>
      <c r="N274" s="23">
        <f>MIN(E$8,M274)+MAX(0,MIN(M274-MIN(E$8,M274),$C274-((H274-MIN(C$8,G274))+(K274-MIN(D$8,J274)))))</f>
        <v/>
      </c>
      <c r="O274" s="23">
        <f>ROUND(M274-N274,2)</f>
        <v/>
      </c>
      <c r="P274" s="23">
        <f>ROUND(R273*(1+F$7/12),2)</f>
        <v/>
      </c>
      <c r="Q274" s="23">
        <f>MIN(F$8,P274)+MAX(0,MIN(P274-MIN(F$8,P274),$C274-((H274-MIN(C$8,G274))+(K274-MIN(D$8,J274))+(N274-MIN(E$8,M274)))))</f>
        <v/>
      </c>
      <c r="R274" s="23">
        <f>ROUND(P274-Q274,2)</f>
        <v/>
      </c>
      <c r="S274" s="23">
        <f>ROUND(U273*(1+G$7/12),2)</f>
        <v/>
      </c>
      <c r="T274" s="23">
        <f>MIN(G$8,S274)+MAX(0,MIN(S274-MIN(G$8,S274),$C274-((H274-MIN(C$8,G274))+(K274-MIN(D$8,J274))+(N274-MIN(E$8,M274))+(Q274-MIN(F$8,P274)))))</f>
        <v/>
      </c>
      <c r="U274" s="23">
        <f>ROUND(S274-T274,2)</f>
        <v/>
      </c>
    </row>
    <row r="275">
      <c r="A275" t="n">
        <v>264</v>
      </c>
      <c r="B275" s="22">
        <f>EDATE(Debts!$B$5,263)</f>
        <v/>
      </c>
      <c r="C275" s="23">
        <f>MAX(0,Debts!$B$6-(MIN(C$8,G275)+MIN(D$8,J275)+MIN(E$8,M275)+MIN(F$8,P275)+MIN(G$8,S275)))</f>
        <v/>
      </c>
      <c r="D275" s="23">
        <f>H275+K275+N275+Q275+T275</f>
        <v/>
      </c>
      <c r="E275" s="23">
        <f>I275+L275+O275+R275+U275</f>
        <v/>
      </c>
      <c r="F275" s="23" t="n"/>
      <c r="G275" s="23">
        <f>ROUND(I274*(1+C$7/12),2)</f>
        <v/>
      </c>
      <c r="H275" s="23">
        <f>MIN(C$8,G275)+MAX(0,MIN(G275-MIN(C$8,G275),$C275-(0)))</f>
        <v/>
      </c>
      <c r="I275" s="23">
        <f>ROUND(G275-H275,2)</f>
        <v/>
      </c>
      <c r="J275" s="23">
        <f>ROUND(L274*(1+D$7/12),2)</f>
        <v/>
      </c>
      <c r="K275" s="23">
        <f>MIN(D$8,J275)+MAX(0,MIN(J275-MIN(D$8,J275),$C275-((H275-MIN(C$8,G275)))))</f>
        <v/>
      </c>
      <c r="L275" s="23">
        <f>ROUND(J275-K275,2)</f>
        <v/>
      </c>
      <c r="M275" s="23">
        <f>ROUND(O274*(1+E$7/12),2)</f>
        <v/>
      </c>
      <c r="N275" s="23">
        <f>MIN(E$8,M275)+MAX(0,MIN(M275-MIN(E$8,M275),$C275-((H275-MIN(C$8,G275))+(K275-MIN(D$8,J275)))))</f>
        <v/>
      </c>
      <c r="O275" s="23">
        <f>ROUND(M275-N275,2)</f>
        <v/>
      </c>
      <c r="P275" s="23">
        <f>ROUND(R274*(1+F$7/12),2)</f>
        <v/>
      </c>
      <c r="Q275" s="23">
        <f>MIN(F$8,P275)+MAX(0,MIN(P275-MIN(F$8,P275),$C275-((H275-MIN(C$8,G275))+(K275-MIN(D$8,J275))+(N275-MIN(E$8,M275)))))</f>
        <v/>
      </c>
      <c r="R275" s="23">
        <f>ROUND(P275-Q275,2)</f>
        <v/>
      </c>
      <c r="S275" s="23">
        <f>ROUND(U274*(1+G$7/12),2)</f>
        <v/>
      </c>
      <c r="T275" s="23">
        <f>MIN(G$8,S275)+MAX(0,MIN(S275-MIN(G$8,S275),$C275-((H275-MIN(C$8,G275))+(K275-MIN(D$8,J275))+(N275-MIN(E$8,M275))+(Q275-MIN(F$8,P275)))))</f>
        <v/>
      </c>
      <c r="U275" s="23">
        <f>ROUND(S275-T275,2)</f>
        <v/>
      </c>
    </row>
    <row r="276">
      <c r="A276" t="n">
        <v>265</v>
      </c>
      <c r="B276" s="22">
        <f>EDATE(Debts!$B$5,264)</f>
        <v/>
      </c>
      <c r="C276" s="23">
        <f>MAX(0,Debts!$B$6-(MIN(C$8,G276)+MIN(D$8,J276)+MIN(E$8,M276)+MIN(F$8,P276)+MIN(G$8,S276)))</f>
        <v/>
      </c>
      <c r="D276" s="23">
        <f>H276+K276+N276+Q276+T276</f>
        <v/>
      </c>
      <c r="E276" s="23">
        <f>I276+L276+O276+R276+U276</f>
        <v/>
      </c>
      <c r="F276" s="23" t="n"/>
      <c r="G276" s="23">
        <f>ROUND(I275*(1+C$7/12),2)</f>
        <v/>
      </c>
      <c r="H276" s="23">
        <f>MIN(C$8,G276)+MAX(0,MIN(G276-MIN(C$8,G276),$C276-(0)))</f>
        <v/>
      </c>
      <c r="I276" s="23">
        <f>ROUND(G276-H276,2)</f>
        <v/>
      </c>
      <c r="J276" s="23">
        <f>ROUND(L275*(1+D$7/12),2)</f>
        <v/>
      </c>
      <c r="K276" s="23">
        <f>MIN(D$8,J276)+MAX(0,MIN(J276-MIN(D$8,J276),$C276-((H276-MIN(C$8,G276)))))</f>
        <v/>
      </c>
      <c r="L276" s="23">
        <f>ROUND(J276-K276,2)</f>
        <v/>
      </c>
      <c r="M276" s="23">
        <f>ROUND(O275*(1+E$7/12),2)</f>
        <v/>
      </c>
      <c r="N276" s="23">
        <f>MIN(E$8,M276)+MAX(0,MIN(M276-MIN(E$8,M276),$C276-((H276-MIN(C$8,G276))+(K276-MIN(D$8,J276)))))</f>
        <v/>
      </c>
      <c r="O276" s="23">
        <f>ROUND(M276-N276,2)</f>
        <v/>
      </c>
      <c r="P276" s="23">
        <f>ROUND(R275*(1+F$7/12),2)</f>
        <v/>
      </c>
      <c r="Q276" s="23">
        <f>MIN(F$8,P276)+MAX(0,MIN(P276-MIN(F$8,P276),$C276-((H276-MIN(C$8,G276))+(K276-MIN(D$8,J276))+(N276-MIN(E$8,M276)))))</f>
        <v/>
      </c>
      <c r="R276" s="23">
        <f>ROUND(P276-Q276,2)</f>
        <v/>
      </c>
      <c r="S276" s="23">
        <f>ROUND(U275*(1+G$7/12),2)</f>
        <v/>
      </c>
      <c r="T276" s="23">
        <f>MIN(G$8,S276)+MAX(0,MIN(S276-MIN(G$8,S276),$C276-((H276-MIN(C$8,G276))+(K276-MIN(D$8,J276))+(N276-MIN(E$8,M276))+(Q276-MIN(F$8,P276)))))</f>
        <v/>
      </c>
      <c r="U276" s="23">
        <f>ROUND(S276-T276,2)</f>
        <v/>
      </c>
    </row>
    <row r="277">
      <c r="A277" t="n">
        <v>266</v>
      </c>
      <c r="B277" s="22">
        <f>EDATE(Debts!$B$5,265)</f>
        <v/>
      </c>
      <c r="C277" s="23">
        <f>MAX(0,Debts!$B$6-(MIN(C$8,G277)+MIN(D$8,J277)+MIN(E$8,M277)+MIN(F$8,P277)+MIN(G$8,S277)))</f>
        <v/>
      </c>
      <c r="D277" s="23">
        <f>H277+K277+N277+Q277+T277</f>
        <v/>
      </c>
      <c r="E277" s="23">
        <f>I277+L277+O277+R277+U277</f>
        <v/>
      </c>
      <c r="F277" s="23" t="n"/>
      <c r="G277" s="23">
        <f>ROUND(I276*(1+C$7/12),2)</f>
        <v/>
      </c>
      <c r="H277" s="23">
        <f>MIN(C$8,G277)+MAX(0,MIN(G277-MIN(C$8,G277),$C277-(0)))</f>
        <v/>
      </c>
      <c r="I277" s="23">
        <f>ROUND(G277-H277,2)</f>
        <v/>
      </c>
      <c r="J277" s="23">
        <f>ROUND(L276*(1+D$7/12),2)</f>
        <v/>
      </c>
      <c r="K277" s="23">
        <f>MIN(D$8,J277)+MAX(0,MIN(J277-MIN(D$8,J277),$C277-((H277-MIN(C$8,G277)))))</f>
        <v/>
      </c>
      <c r="L277" s="23">
        <f>ROUND(J277-K277,2)</f>
        <v/>
      </c>
      <c r="M277" s="23">
        <f>ROUND(O276*(1+E$7/12),2)</f>
        <v/>
      </c>
      <c r="N277" s="23">
        <f>MIN(E$8,M277)+MAX(0,MIN(M277-MIN(E$8,M277),$C277-((H277-MIN(C$8,G277))+(K277-MIN(D$8,J277)))))</f>
        <v/>
      </c>
      <c r="O277" s="23">
        <f>ROUND(M277-N277,2)</f>
        <v/>
      </c>
      <c r="P277" s="23">
        <f>ROUND(R276*(1+F$7/12),2)</f>
        <v/>
      </c>
      <c r="Q277" s="23">
        <f>MIN(F$8,P277)+MAX(0,MIN(P277-MIN(F$8,P277),$C277-((H277-MIN(C$8,G277))+(K277-MIN(D$8,J277))+(N277-MIN(E$8,M277)))))</f>
        <v/>
      </c>
      <c r="R277" s="23">
        <f>ROUND(P277-Q277,2)</f>
        <v/>
      </c>
      <c r="S277" s="23">
        <f>ROUND(U276*(1+G$7/12),2)</f>
        <v/>
      </c>
      <c r="T277" s="23">
        <f>MIN(G$8,S277)+MAX(0,MIN(S277-MIN(G$8,S277),$C277-((H277-MIN(C$8,G277))+(K277-MIN(D$8,J277))+(N277-MIN(E$8,M277))+(Q277-MIN(F$8,P277)))))</f>
        <v/>
      </c>
      <c r="U277" s="23">
        <f>ROUND(S277-T277,2)</f>
        <v/>
      </c>
    </row>
    <row r="278">
      <c r="A278" t="n">
        <v>267</v>
      </c>
      <c r="B278" s="22">
        <f>EDATE(Debts!$B$5,266)</f>
        <v/>
      </c>
      <c r="C278" s="23">
        <f>MAX(0,Debts!$B$6-(MIN(C$8,G278)+MIN(D$8,J278)+MIN(E$8,M278)+MIN(F$8,P278)+MIN(G$8,S278)))</f>
        <v/>
      </c>
      <c r="D278" s="23">
        <f>H278+K278+N278+Q278+T278</f>
        <v/>
      </c>
      <c r="E278" s="23">
        <f>I278+L278+O278+R278+U278</f>
        <v/>
      </c>
      <c r="F278" s="23" t="n"/>
      <c r="G278" s="23">
        <f>ROUND(I277*(1+C$7/12),2)</f>
        <v/>
      </c>
      <c r="H278" s="23">
        <f>MIN(C$8,G278)+MAX(0,MIN(G278-MIN(C$8,G278),$C278-(0)))</f>
        <v/>
      </c>
      <c r="I278" s="23">
        <f>ROUND(G278-H278,2)</f>
        <v/>
      </c>
      <c r="J278" s="23">
        <f>ROUND(L277*(1+D$7/12),2)</f>
        <v/>
      </c>
      <c r="K278" s="23">
        <f>MIN(D$8,J278)+MAX(0,MIN(J278-MIN(D$8,J278),$C278-((H278-MIN(C$8,G278)))))</f>
        <v/>
      </c>
      <c r="L278" s="23">
        <f>ROUND(J278-K278,2)</f>
        <v/>
      </c>
      <c r="M278" s="23">
        <f>ROUND(O277*(1+E$7/12),2)</f>
        <v/>
      </c>
      <c r="N278" s="23">
        <f>MIN(E$8,M278)+MAX(0,MIN(M278-MIN(E$8,M278),$C278-((H278-MIN(C$8,G278))+(K278-MIN(D$8,J278)))))</f>
        <v/>
      </c>
      <c r="O278" s="23">
        <f>ROUND(M278-N278,2)</f>
        <v/>
      </c>
      <c r="P278" s="23">
        <f>ROUND(R277*(1+F$7/12),2)</f>
        <v/>
      </c>
      <c r="Q278" s="23">
        <f>MIN(F$8,P278)+MAX(0,MIN(P278-MIN(F$8,P278),$C278-((H278-MIN(C$8,G278))+(K278-MIN(D$8,J278))+(N278-MIN(E$8,M278)))))</f>
        <v/>
      </c>
      <c r="R278" s="23">
        <f>ROUND(P278-Q278,2)</f>
        <v/>
      </c>
      <c r="S278" s="23">
        <f>ROUND(U277*(1+G$7/12),2)</f>
        <v/>
      </c>
      <c r="T278" s="23">
        <f>MIN(G$8,S278)+MAX(0,MIN(S278-MIN(G$8,S278),$C278-((H278-MIN(C$8,G278))+(K278-MIN(D$8,J278))+(N278-MIN(E$8,M278))+(Q278-MIN(F$8,P278)))))</f>
        <v/>
      </c>
      <c r="U278" s="23">
        <f>ROUND(S278-T278,2)</f>
        <v/>
      </c>
    </row>
    <row r="279">
      <c r="A279" t="n">
        <v>268</v>
      </c>
      <c r="B279" s="22">
        <f>EDATE(Debts!$B$5,267)</f>
        <v/>
      </c>
      <c r="C279" s="23">
        <f>MAX(0,Debts!$B$6-(MIN(C$8,G279)+MIN(D$8,J279)+MIN(E$8,M279)+MIN(F$8,P279)+MIN(G$8,S279)))</f>
        <v/>
      </c>
      <c r="D279" s="23">
        <f>H279+K279+N279+Q279+T279</f>
        <v/>
      </c>
      <c r="E279" s="23">
        <f>I279+L279+O279+R279+U279</f>
        <v/>
      </c>
      <c r="F279" s="23" t="n"/>
      <c r="G279" s="23">
        <f>ROUND(I278*(1+C$7/12),2)</f>
        <v/>
      </c>
      <c r="H279" s="23">
        <f>MIN(C$8,G279)+MAX(0,MIN(G279-MIN(C$8,G279),$C279-(0)))</f>
        <v/>
      </c>
      <c r="I279" s="23">
        <f>ROUND(G279-H279,2)</f>
        <v/>
      </c>
      <c r="J279" s="23">
        <f>ROUND(L278*(1+D$7/12),2)</f>
        <v/>
      </c>
      <c r="K279" s="23">
        <f>MIN(D$8,J279)+MAX(0,MIN(J279-MIN(D$8,J279),$C279-((H279-MIN(C$8,G279)))))</f>
        <v/>
      </c>
      <c r="L279" s="23">
        <f>ROUND(J279-K279,2)</f>
        <v/>
      </c>
      <c r="M279" s="23">
        <f>ROUND(O278*(1+E$7/12),2)</f>
        <v/>
      </c>
      <c r="N279" s="23">
        <f>MIN(E$8,M279)+MAX(0,MIN(M279-MIN(E$8,M279),$C279-((H279-MIN(C$8,G279))+(K279-MIN(D$8,J279)))))</f>
        <v/>
      </c>
      <c r="O279" s="23">
        <f>ROUND(M279-N279,2)</f>
        <v/>
      </c>
      <c r="P279" s="23">
        <f>ROUND(R278*(1+F$7/12),2)</f>
        <v/>
      </c>
      <c r="Q279" s="23">
        <f>MIN(F$8,P279)+MAX(0,MIN(P279-MIN(F$8,P279),$C279-((H279-MIN(C$8,G279))+(K279-MIN(D$8,J279))+(N279-MIN(E$8,M279)))))</f>
        <v/>
      </c>
      <c r="R279" s="23">
        <f>ROUND(P279-Q279,2)</f>
        <v/>
      </c>
      <c r="S279" s="23">
        <f>ROUND(U278*(1+G$7/12),2)</f>
        <v/>
      </c>
      <c r="T279" s="23">
        <f>MIN(G$8,S279)+MAX(0,MIN(S279-MIN(G$8,S279),$C279-((H279-MIN(C$8,G279))+(K279-MIN(D$8,J279))+(N279-MIN(E$8,M279))+(Q279-MIN(F$8,P279)))))</f>
        <v/>
      </c>
      <c r="U279" s="23">
        <f>ROUND(S279-T279,2)</f>
        <v/>
      </c>
    </row>
    <row r="280">
      <c r="A280" t="n">
        <v>269</v>
      </c>
      <c r="B280" s="22">
        <f>EDATE(Debts!$B$5,268)</f>
        <v/>
      </c>
      <c r="C280" s="23">
        <f>MAX(0,Debts!$B$6-(MIN(C$8,G280)+MIN(D$8,J280)+MIN(E$8,M280)+MIN(F$8,P280)+MIN(G$8,S280)))</f>
        <v/>
      </c>
      <c r="D280" s="23">
        <f>H280+K280+N280+Q280+T280</f>
        <v/>
      </c>
      <c r="E280" s="23">
        <f>I280+L280+O280+R280+U280</f>
        <v/>
      </c>
      <c r="F280" s="23" t="n"/>
      <c r="G280" s="23">
        <f>ROUND(I279*(1+C$7/12),2)</f>
        <v/>
      </c>
      <c r="H280" s="23">
        <f>MIN(C$8,G280)+MAX(0,MIN(G280-MIN(C$8,G280),$C280-(0)))</f>
        <v/>
      </c>
      <c r="I280" s="23">
        <f>ROUND(G280-H280,2)</f>
        <v/>
      </c>
      <c r="J280" s="23">
        <f>ROUND(L279*(1+D$7/12),2)</f>
        <v/>
      </c>
      <c r="K280" s="23">
        <f>MIN(D$8,J280)+MAX(0,MIN(J280-MIN(D$8,J280),$C280-((H280-MIN(C$8,G280)))))</f>
        <v/>
      </c>
      <c r="L280" s="23">
        <f>ROUND(J280-K280,2)</f>
        <v/>
      </c>
      <c r="M280" s="23">
        <f>ROUND(O279*(1+E$7/12),2)</f>
        <v/>
      </c>
      <c r="N280" s="23">
        <f>MIN(E$8,M280)+MAX(0,MIN(M280-MIN(E$8,M280),$C280-((H280-MIN(C$8,G280))+(K280-MIN(D$8,J280)))))</f>
        <v/>
      </c>
      <c r="O280" s="23">
        <f>ROUND(M280-N280,2)</f>
        <v/>
      </c>
      <c r="P280" s="23">
        <f>ROUND(R279*(1+F$7/12),2)</f>
        <v/>
      </c>
      <c r="Q280" s="23">
        <f>MIN(F$8,P280)+MAX(0,MIN(P280-MIN(F$8,P280),$C280-((H280-MIN(C$8,G280))+(K280-MIN(D$8,J280))+(N280-MIN(E$8,M280)))))</f>
        <v/>
      </c>
      <c r="R280" s="23">
        <f>ROUND(P280-Q280,2)</f>
        <v/>
      </c>
      <c r="S280" s="23">
        <f>ROUND(U279*(1+G$7/12),2)</f>
        <v/>
      </c>
      <c r="T280" s="23">
        <f>MIN(G$8,S280)+MAX(0,MIN(S280-MIN(G$8,S280),$C280-((H280-MIN(C$8,G280))+(K280-MIN(D$8,J280))+(N280-MIN(E$8,M280))+(Q280-MIN(F$8,P280)))))</f>
        <v/>
      </c>
      <c r="U280" s="23">
        <f>ROUND(S280-T280,2)</f>
        <v/>
      </c>
    </row>
    <row r="281">
      <c r="A281" t="n">
        <v>270</v>
      </c>
      <c r="B281" s="22">
        <f>EDATE(Debts!$B$5,269)</f>
        <v/>
      </c>
      <c r="C281" s="23">
        <f>MAX(0,Debts!$B$6-(MIN(C$8,G281)+MIN(D$8,J281)+MIN(E$8,M281)+MIN(F$8,P281)+MIN(G$8,S281)))</f>
        <v/>
      </c>
      <c r="D281" s="23">
        <f>H281+K281+N281+Q281+T281</f>
        <v/>
      </c>
      <c r="E281" s="23">
        <f>I281+L281+O281+R281+U281</f>
        <v/>
      </c>
      <c r="F281" s="23" t="n"/>
      <c r="G281" s="23">
        <f>ROUND(I280*(1+C$7/12),2)</f>
        <v/>
      </c>
      <c r="H281" s="23">
        <f>MIN(C$8,G281)+MAX(0,MIN(G281-MIN(C$8,G281),$C281-(0)))</f>
        <v/>
      </c>
      <c r="I281" s="23">
        <f>ROUND(G281-H281,2)</f>
        <v/>
      </c>
      <c r="J281" s="23">
        <f>ROUND(L280*(1+D$7/12),2)</f>
        <v/>
      </c>
      <c r="K281" s="23">
        <f>MIN(D$8,J281)+MAX(0,MIN(J281-MIN(D$8,J281),$C281-((H281-MIN(C$8,G281)))))</f>
        <v/>
      </c>
      <c r="L281" s="23">
        <f>ROUND(J281-K281,2)</f>
        <v/>
      </c>
      <c r="M281" s="23">
        <f>ROUND(O280*(1+E$7/12),2)</f>
        <v/>
      </c>
      <c r="N281" s="23">
        <f>MIN(E$8,M281)+MAX(0,MIN(M281-MIN(E$8,M281),$C281-((H281-MIN(C$8,G281))+(K281-MIN(D$8,J281)))))</f>
        <v/>
      </c>
      <c r="O281" s="23">
        <f>ROUND(M281-N281,2)</f>
        <v/>
      </c>
      <c r="P281" s="23">
        <f>ROUND(R280*(1+F$7/12),2)</f>
        <v/>
      </c>
      <c r="Q281" s="23">
        <f>MIN(F$8,P281)+MAX(0,MIN(P281-MIN(F$8,P281),$C281-((H281-MIN(C$8,G281))+(K281-MIN(D$8,J281))+(N281-MIN(E$8,M281)))))</f>
        <v/>
      </c>
      <c r="R281" s="23">
        <f>ROUND(P281-Q281,2)</f>
        <v/>
      </c>
      <c r="S281" s="23">
        <f>ROUND(U280*(1+G$7/12),2)</f>
        <v/>
      </c>
      <c r="T281" s="23">
        <f>MIN(G$8,S281)+MAX(0,MIN(S281-MIN(G$8,S281),$C281-((H281-MIN(C$8,G281))+(K281-MIN(D$8,J281))+(N281-MIN(E$8,M281))+(Q281-MIN(F$8,P281)))))</f>
        <v/>
      </c>
      <c r="U281" s="23">
        <f>ROUND(S281-T281,2)</f>
        <v/>
      </c>
    </row>
    <row r="282">
      <c r="A282" t="n">
        <v>271</v>
      </c>
      <c r="B282" s="22">
        <f>EDATE(Debts!$B$5,270)</f>
        <v/>
      </c>
      <c r="C282" s="23">
        <f>MAX(0,Debts!$B$6-(MIN(C$8,G282)+MIN(D$8,J282)+MIN(E$8,M282)+MIN(F$8,P282)+MIN(G$8,S282)))</f>
        <v/>
      </c>
      <c r="D282" s="23">
        <f>H282+K282+N282+Q282+T282</f>
        <v/>
      </c>
      <c r="E282" s="23">
        <f>I282+L282+O282+R282+U282</f>
        <v/>
      </c>
      <c r="F282" s="23" t="n"/>
      <c r="G282" s="23">
        <f>ROUND(I281*(1+C$7/12),2)</f>
        <v/>
      </c>
      <c r="H282" s="23">
        <f>MIN(C$8,G282)+MAX(0,MIN(G282-MIN(C$8,G282),$C282-(0)))</f>
        <v/>
      </c>
      <c r="I282" s="23">
        <f>ROUND(G282-H282,2)</f>
        <v/>
      </c>
      <c r="J282" s="23">
        <f>ROUND(L281*(1+D$7/12),2)</f>
        <v/>
      </c>
      <c r="K282" s="23">
        <f>MIN(D$8,J282)+MAX(0,MIN(J282-MIN(D$8,J282),$C282-((H282-MIN(C$8,G282)))))</f>
        <v/>
      </c>
      <c r="L282" s="23">
        <f>ROUND(J282-K282,2)</f>
        <v/>
      </c>
      <c r="M282" s="23">
        <f>ROUND(O281*(1+E$7/12),2)</f>
        <v/>
      </c>
      <c r="N282" s="23">
        <f>MIN(E$8,M282)+MAX(0,MIN(M282-MIN(E$8,M282),$C282-((H282-MIN(C$8,G282))+(K282-MIN(D$8,J282)))))</f>
        <v/>
      </c>
      <c r="O282" s="23">
        <f>ROUND(M282-N282,2)</f>
        <v/>
      </c>
      <c r="P282" s="23">
        <f>ROUND(R281*(1+F$7/12),2)</f>
        <v/>
      </c>
      <c r="Q282" s="23">
        <f>MIN(F$8,P282)+MAX(0,MIN(P282-MIN(F$8,P282),$C282-((H282-MIN(C$8,G282))+(K282-MIN(D$8,J282))+(N282-MIN(E$8,M282)))))</f>
        <v/>
      </c>
      <c r="R282" s="23">
        <f>ROUND(P282-Q282,2)</f>
        <v/>
      </c>
      <c r="S282" s="23">
        <f>ROUND(U281*(1+G$7/12),2)</f>
        <v/>
      </c>
      <c r="T282" s="23">
        <f>MIN(G$8,S282)+MAX(0,MIN(S282-MIN(G$8,S282),$C282-((H282-MIN(C$8,G282))+(K282-MIN(D$8,J282))+(N282-MIN(E$8,M282))+(Q282-MIN(F$8,P282)))))</f>
        <v/>
      </c>
      <c r="U282" s="23">
        <f>ROUND(S282-T282,2)</f>
        <v/>
      </c>
    </row>
    <row r="283">
      <c r="A283" t="n">
        <v>272</v>
      </c>
      <c r="B283" s="22">
        <f>EDATE(Debts!$B$5,271)</f>
        <v/>
      </c>
      <c r="C283" s="23">
        <f>MAX(0,Debts!$B$6-(MIN(C$8,G283)+MIN(D$8,J283)+MIN(E$8,M283)+MIN(F$8,P283)+MIN(G$8,S283)))</f>
        <v/>
      </c>
      <c r="D283" s="23">
        <f>H283+K283+N283+Q283+T283</f>
        <v/>
      </c>
      <c r="E283" s="23">
        <f>I283+L283+O283+R283+U283</f>
        <v/>
      </c>
      <c r="F283" s="23" t="n"/>
      <c r="G283" s="23">
        <f>ROUND(I282*(1+C$7/12),2)</f>
        <v/>
      </c>
      <c r="H283" s="23">
        <f>MIN(C$8,G283)+MAX(0,MIN(G283-MIN(C$8,G283),$C283-(0)))</f>
        <v/>
      </c>
      <c r="I283" s="23">
        <f>ROUND(G283-H283,2)</f>
        <v/>
      </c>
      <c r="J283" s="23">
        <f>ROUND(L282*(1+D$7/12),2)</f>
        <v/>
      </c>
      <c r="K283" s="23">
        <f>MIN(D$8,J283)+MAX(0,MIN(J283-MIN(D$8,J283),$C283-((H283-MIN(C$8,G283)))))</f>
        <v/>
      </c>
      <c r="L283" s="23">
        <f>ROUND(J283-K283,2)</f>
        <v/>
      </c>
      <c r="M283" s="23">
        <f>ROUND(O282*(1+E$7/12),2)</f>
        <v/>
      </c>
      <c r="N283" s="23">
        <f>MIN(E$8,M283)+MAX(0,MIN(M283-MIN(E$8,M283),$C283-((H283-MIN(C$8,G283))+(K283-MIN(D$8,J283)))))</f>
        <v/>
      </c>
      <c r="O283" s="23">
        <f>ROUND(M283-N283,2)</f>
        <v/>
      </c>
      <c r="P283" s="23">
        <f>ROUND(R282*(1+F$7/12),2)</f>
        <v/>
      </c>
      <c r="Q283" s="23">
        <f>MIN(F$8,P283)+MAX(0,MIN(P283-MIN(F$8,P283),$C283-((H283-MIN(C$8,G283))+(K283-MIN(D$8,J283))+(N283-MIN(E$8,M283)))))</f>
        <v/>
      </c>
      <c r="R283" s="23">
        <f>ROUND(P283-Q283,2)</f>
        <v/>
      </c>
      <c r="S283" s="23">
        <f>ROUND(U282*(1+G$7/12),2)</f>
        <v/>
      </c>
      <c r="T283" s="23">
        <f>MIN(G$8,S283)+MAX(0,MIN(S283-MIN(G$8,S283),$C283-((H283-MIN(C$8,G283))+(K283-MIN(D$8,J283))+(N283-MIN(E$8,M283))+(Q283-MIN(F$8,P283)))))</f>
        <v/>
      </c>
      <c r="U283" s="23">
        <f>ROUND(S283-T283,2)</f>
        <v/>
      </c>
    </row>
    <row r="284">
      <c r="A284" t="n">
        <v>273</v>
      </c>
      <c r="B284" s="22">
        <f>EDATE(Debts!$B$5,272)</f>
        <v/>
      </c>
      <c r="C284" s="23">
        <f>MAX(0,Debts!$B$6-(MIN(C$8,G284)+MIN(D$8,J284)+MIN(E$8,M284)+MIN(F$8,P284)+MIN(G$8,S284)))</f>
        <v/>
      </c>
      <c r="D284" s="23">
        <f>H284+K284+N284+Q284+T284</f>
        <v/>
      </c>
      <c r="E284" s="23">
        <f>I284+L284+O284+R284+U284</f>
        <v/>
      </c>
      <c r="F284" s="23" t="n"/>
      <c r="G284" s="23">
        <f>ROUND(I283*(1+C$7/12),2)</f>
        <v/>
      </c>
      <c r="H284" s="23">
        <f>MIN(C$8,G284)+MAX(0,MIN(G284-MIN(C$8,G284),$C284-(0)))</f>
        <v/>
      </c>
      <c r="I284" s="23">
        <f>ROUND(G284-H284,2)</f>
        <v/>
      </c>
      <c r="J284" s="23">
        <f>ROUND(L283*(1+D$7/12),2)</f>
        <v/>
      </c>
      <c r="K284" s="23">
        <f>MIN(D$8,J284)+MAX(0,MIN(J284-MIN(D$8,J284),$C284-((H284-MIN(C$8,G284)))))</f>
        <v/>
      </c>
      <c r="L284" s="23">
        <f>ROUND(J284-K284,2)</f>
        <v/>
      </c>
      <c r="M284" s="23">
        <f>ROUND(O283*(1+E$7/12),2)</f>
        <v/>
      </c>
      <c r="N284" s="23">
        <f>MIN(E$8,M284)+MAX(0,MIN(M284-MIN(E$8,M284),$C284-((H284-MIN(C$8,G284))+(K284-MIN(D$8,J284)))))</f>
        <v/>
      </c>
      <c r="O284" s="23">
        <f>ROUND(M284-N284,2)</f>
        <v/>
      </c>
      <c r="P284" s="23">
        <f>ROUND(R283*(1+F$7/12),2)</f>
        <v/>
      </c>
      <c r="Q284" s="23">
        <f>MIN(F$8,P284)+MAX(0,MIN(P284-MIN(F$8,P284),$C284-((H284-MIN(C$8,G284))+(K284-MIN(D$8,J284))+(N284-MIN(E$8,M284)))))</f>
        <v/>
      </c>
      <c r="R284" s="23">
        <f>ROUND(P284-Q284,2)</f>
        <v/>
      </c>
      <c r="S284" s="23">
        <f>ROUND(U283*(1+G$7/12),2)</f>
        <v/>
      </c>
      <c r="T284" s="23">
        <f>MIN(G$8,S284)+MAX(0,MIN(S284-MIN(G$8,S284),$C284-((H284-MIN(C$8,G284))+(K284-MIN(D$8,J284))+(N284-MIN(E$8,M284))+(Q284-MIN(F$8,P284)))))</f>
        <v/>
      </c>
      <c r="U284" s="23">
        <f>ROUND(S284-T284,2)</f>
        <v/>
      </c>
    </row>
    <row r="285">
      <c r="A285" t="n">
        <v>274</v>
      </c>
      <c r="B285" s="22">
        <f>EDATE(Debts!$B$5,273)</f>
        <v/>
      </c>
      <c r="C285" s="23">
        <f>MAX(0,Debts!$B$6-(MIN(C$8,G285)+MIN(D$8,J285)+MIN(E$8,M285)+MIN(F$8,P285)+MIN(G$8,S285)))</f>
        <v/>
      </c>
      <c r="D285" s="23">
        <f>H285+K285+N285+Q285+T285</f>
        <v/>
      </c>
      <c r="E285" s="23">
        <f>I285+L285+O285+R285+U285</f>
        <v/>
      </c>
      <c r="F285" s="23" t="n"/>
      <c r="G285" s="23">
        <f>ROUND(I284*(1+C$7/12),2)</f>
        <v/>
      </c>
      <c r="H285" s="23">
        <f>MIN(C$8,G285)+MAX(0,MIN(G285-MIN(C$8,G285),$C285-(0)))</f>
        <v/>
      </c>
      <c r="I285" s="23">
        <f>ROUND(G285-H285,2)</f>
        <v/>
      </c>
      <c r="J285" s="23">
        <f>ROUND(L284*(1+D$7/12),2)</f>
        <v/>
      </c>
      <c r="K285" s="23">
        <f>MIN(D$8,J285)+MAX(0,MIN(J285-MIN(D$8,J285),$C285-((H285-MIN(C$8,G285)))))</f>
        <v/>
      </c>
      <c r="L285" s="23">
        <f>ROUND(J285-K285,2)</f>
        <v/>
      </c>
      <c r="M285" s="23">
        <f>ROUND(O284*(1+E$7/12),2)</f>
        <v/>
      </c>
      <c r="N285" s="23">
        <f>MIN(E$8,M285)+MAX(0,MIN(M285-MIN(E$8,M285),$C285-((H285-MIN(C$8,G285))+(K285-MIN(D$8,J285)))))</f>
        <v/>
      </c>
      <c r="O285" s="23">
        <f>ROUND(M285-N285,2)</f>
        <v/>
      </c>
      <c r="P285" s="23">
        <f>ROUND(R284*(1+F$7/12),2)</f>
        <v/>
      </c>
      <c r="Q285" s="23">
        <f>MIN(F$8,P285)+MAX(0,MIN(P285-MIN(F$8,P285),$C285-((H285-MIN(C$8,G285))+(K285-MIN(D$8,J285))+(N285-MIN(E$8,M285)))))</f>
        <v/>
      </c>
      <c r="R285" s="23">
        <f>ROUND(P285-Q285,2)</f>
        <v/>
      </c>
      <c r="S285" s="23">
        <f>ROUND(U284*(1+G$7/12),2)</f>
        <v/>
      </c>
      <c r="T285" s="23">
        <f>MIN(G$8,S285)+MAX(0,MIN(S285-MIN(G$8,S285),$C285-((H285-MIN(C$8,G285))+(K285-MIN(D$8,J285))+(N285-MIN(E$8,M285))+(Q285-MIN(F$8,P285)))))</f>
        <v/>
      </c>
      <c r="U285" s="23">
        <f>ROUND(S285-T285,2)</f>
        <v/>
      </c>
    </row>
    <row r="286">
      <c r="A286" t="n">
        <v>275</v>
      </c>
      <c r="B286" s="22">
        <f>EDATE(Debts!$B$5,274)</f>
        <v/>
      </c>
      <c r="C286" s="23">
        <f>MAX(0,Debts!$B$6-(MIN(C$8,G286)+MIN(D$8,J286)+MIN(E$8,M286)+MIN(F$8,P286)+MIN(G$8,S286)))</f>
        <v/>
      </c>
      <c r="D286" s="23">
        <f>H286+K286+N286+Q286+T286</f>
        <v/>
      </c>
      <c r="E286" s="23">
        <f>I286+L286+O286+R286+U286</f>
        <v/>
      </c>
      <c r="F286" s="23" t="n"/>
      <c r="G286" s="23">
        <f>ROUND(I285*(1+C$7/12),2)</f>
        <v/>
      </c>
      <c r="H286" s="23">
        <f>MIN(C$8,G286)+MAX(0,MIN(G286-MIN(C$8,G286),$C286-(0)))</f>
        <v/>
      </c>
      <c r="I286" s="23">
        <f>ROUND(G286-H286,2)</f>
        <v/>
      </c>
      <c r="J286" s="23">
        <f>ROUND(L285*(1+D$7/12),2)</f>
        <v/>
      </c>
      <c r="K286" s="23">
        <f>MIN(D$8,J286)+MAX(0,MIN(J286-MIN(D$8,J286),$C286-((H286-MIN(C$8,G286)))))</f>
        <v/>
      </c>
      <c r="L286" s="23">
        <f>ROUND(J286-K286,2)</f>
        <v/>
      </c>
      <c r="M286" s="23">
        <f>ROUND(O285*(1+E$7/12),2)</f>
        <v/>
      </c>
      <c r="N286" s="23">
        <f>MIN(E$8,M286)+MAX(0,MIN(M286-MIN(E$8,M286),$C286-((H286-MIN(C$8,G286))+(K286-MIN(D$8,J286)))))</f>
        <v/>
      </c>
      <c r="O286" s="23">
        <f>ROUND(M286-N286,2)</f>
        <v/>
      </c>
      <c r="P286" s="23">
        <f>ROUND(R285*(1+F$7/12),2)</f>
        <v/>
      </c>
      <c r="Q286" s="23">
        <f>MIN(F$8,P286)+MAX(0,MIN(P286-MIN(F$8,P286),$C286-((H286-MIN(C$8,G286))+(K286-MIN(D$8,J286))+(N286-MIN(E$8,M286)))))</f>
        <v/>
      </c>
      <c r="R286" s="23">
        <f>ROUND(P286-Q286,2)</f>
        <v/>
      </c>
      <c r="S286" s="23">
        <f>ROUND(U285*(1+G$7/12),2)</f>
        <v/>
      </c>
      <c r="T286" s="23">
        <f>MIN(G$8,S286)+MAX(0,MIN(S286-MIN(G$8,S286),$C286-((H286-MIN(C$8,G286))+(K286-MIN(D$8,J286))+(N286-MIN(E$8,M286))+(Q286-MIN(F$8,P286)))))</f>
        <v/>
      </c>
      <c r="U286" s="23">
        <f>ROUND(S286-T286,2)</f>
        <v/>
      </c>
    </row>
    <row r="287">
      <c r="A287" t="n">
        <v>276</v>
      </c>
      <c r="B287" s="22">
        <f>EDATE(Debts!$B$5,275)</f>
        <v/>
      </c>
      <c r="C287" s="23">
        <f>MAX(0,Debts!$B$6-(MIN(C$8,G287)+MIN(D$8,J287)+MIN(E$8,M287)+MIN(F$8,P287)+MIN(G$8,S287)))</f>
        <v/>
      </c>
      <c r="D287" s="23">
        <f>H287+K287+N287+Q287+T287</f>
        <v/>
      </c>
      <c r="E287" s="23">
        <f>I287+L287+O287+R287+U287</f>
        <v/>
      </c>
      <c r="F287" s="23" t="n"/>
      <c r="G287" s="23">
        <f>ROUND(I286*(1+C$7/12),2)</f>
        <v/>
      </c>
      <c r="H287" s="23">
        <f>MIN(C$8,G287)+MAX(0,MIN(G287-MIN(C$8,G287),$C287-(0)))</f>
        <v/>
      </c>
      <c r="I287" s="23">
        <f>ROUND(G287-H287,2)</f>
        <v/>
      </c>
      <c r="J287" s="23">
        <f>ROUND(L286*(1+D$7/12),2)</f>
        <v/>
      </c>
      <c r="K287" s="23">
        <f>MIN(D$8,J287)+MAX(0,MIN(J287-MIN(D$8,J287),$C287-((H287-MIN(C$8,G287)))))</f>
        <v/>
      </c>
      <c r="L287" s="23">
        <f>ROUND(J287-K287,2)</f>
        <v/>
      </c>
      <c r="M287" s="23">
        <f>ROUND(O286*(1+E$7/12),2)</f>
        <v/>
      </c>
      <c r="N287" s="23">
        <f>MIN(E$8,M287)+MAX(0,MIN(M287-MIN(E$8,M287),$C287-((H287-MIN(C$8,G287))+(K287-MIN(D$8,J287)))))</f>
        <v/>
      </c>
      <c r="O287" s="23">
        <f>ROUND(M287-N287,2)</f>
        <v/>
      </c>
      <c r="P287" s="23">
        <f>ROUND(R286*(1+F$7/12),2)</f>
        <v/>
      </c>
      <c r="Q287" s="23">
        <f>MIN(F$8,P287)+MAX(0,MIN(P287-MIN(F$8,P287),$C287-((H287-MIN(C$8,G287))+(K287-MIN(D$8,J287))+(N287-MIN(E$8,M287)))))</f>
        <v/>
      </c>
      <c r="R287" s="23">
        <f>ROUND(P287-Q287,2)</f>
        <v/>
      </c>
      <c r="S287" s="23">
        <f>ROUND(U286*(1+G$7/12),2)</f>
        <v/>
      </c>
      <c r="T287" s="23">
        <f>MIN(G$8,S287)+MAX(0,MIN(S287-MIN(G$8,S287),$C287-((H287-MIN(C$8,G287))+(K287-MIN(D$8,J287))+(N287-MIN(E$8,M287))+(Q287-MIN(F$8,P287)))))</f>
        <v/>
      </c>
      <c r="U287" s="23">
        <f>ROUND(S287-T287,2)</f>
        <v/>
      </c>
    </row>
    <row r="288">
      <c r="A288" t="n">
        <v>277</v>
      </c>
      <c r="B288" s="22">
        <f>EDATE(Debts!$B$5,276)</f>
        <v/>
      </c>
      <c r="C288" s="23">
        <f>MAX(0,Debts!$B$6-(MIN(C$8,G288)+MIN(D$8,J288)+MIN(E$8,M288)+MIN(F$8,P288)+MIN(G$8,S288)))</f>
        <v/>
      </c>
      <c r="D288" s="23">
        <f>H288+K288+N288+Q288+T288</f>
        <v/>
      </c>
      <c r="E288" s="23">
        <f>I288+L288+O288+R288+U288</f>
        <v/>
      </c>
      <c r="F288" s="23" t="n"/>
      <c r="G288" s="23">
        <f>ROUND(I287*(1+C$7/12),2)</f>
        <v/>
      </c>
      <c r="H288" s="23">
        <f>MIN(C$8,G288)+MAX(0,MIN(G288-MIN(C$8,G288),$C288-(0)))</f>
        <v/>
      </c>
      <c r="I288" s="23">
        <f>ROUND(G288-H288,2)</f>
        <v/>
      </c>
      <c r="J288" s="23">
        <f>ROUND(L287*(1+D$7/12),2)</f>
        <v/>
      </c>
      <c r="K288" s="23">
        <f>MIN(D$8,J288)+MAX(0,MIN(J288-MIN(D$8,J288),$C288-((H288-MIN(C$8,G288)))))</f>
        <v/>
      </c>
      <c r="L288" s="23">
        <f>ROUND(J288-K288,2)</f>
        <v/>
      </c>
      <c r="M288" s="23">
        <f>ROUND(O287*(1+E$7/12),2)</f>
        <v/>
      </c>
      <c r="N288" s="23">
        <f>MIN(E$8,M288)+MAX(0,MIN(M288-MIN(E$8,M288),$C288-((H288-MIN(C$8,G288))+(K288-MIN(D$8,J288)))))</f>
        <v/>
      </c>
      <c r="O288" s="23">
        <f>ROUND(M288-N288,2)</f>
        <v/>
      </c>
      <c r="P288" s="23">
        <f>ROUND(R287*(1+F$7/12),2)</f>
        <v/>
      </c>
      <c r="Q288" s="23">
        <f>MIN(F$8,P288)+MAX(0,MIN(P288-MIN(F$8,P288),$C288-((H288-MIN(C$8,G288))+(K288-MIN(D$8,J288))+(N288-MIN(E$8,M288)))))</f>
        <v/>
      </c>
      <c r="R288" s="23">
        <f>ROUND(P288-Q288,2)</f>
        <v/>
      </c>
      <c r="S288" s="23">
        <f>ROUND(U287*(1+G$7/12),2)</f>
        <v/>
      </c>
      <c r="T288" s="23">
        <f>MIN(G$8,S288)+MAX(0,MIN(S288-MIN(G$8,S288),$C288-((H288-MIN(C$8,G288))+(K288-MIN(D$8,J288))+(N288-MIN(E$8,M288))+(Q288-MIN(F$8,P288)))))</f>
        <v/>
      </c>
      <c r="U288" s="23">
        <f>ROUND(S288-T288,2)</f>
        <v/>
      </c>
    </row>
    <row r="289">
      <c r="A289" t="n">
        <v>278</v>
      </c>
      <c r="B289" s="22">
        <f>EDATE(Debts!$B$5,277)</f>
        <v/>
      </c>
      <c r="C289" s="23">
        <f>MAX(0,Debts!$B$6-(MIN(C$8,G289)+MIN(D$8,J289)+MIN(E$8,M289)+MIN(F$8,P289)+MIN(G$8,S289)))</f>
        <v/>
      </c>
      <c r="D289" s="23">
        <f>H289+K289+N289+Q289+T289</f>
        <v/>
      </c>
      <c r="E289" s="23">
        <f>I289+L289+O289+R289+U289</f>
        <v/>
      </c>
      <c r="F289" s="23" t="n"/>
      <c r="G289" s="23">
        <f>ROUND(I288*(1+C$7/12),2)</f>
        <v/>
      </c>
      <c r="H289" s="23">
        <f>MIN(C$8,G289)+MAX(0,MIN(G289-MIN(C$8,G289),$C289-(0)))</f>
        <v/>
      </c>
      <c r="I289" s="23">
        <f>ROUND(G289-H289,2)</f>
        <v/>
      </c>
      <c r="J289" s="23">
        <f>ROUND(L288*(1+D$7/12),2)</f>
        <v/>
      </c>
      <c r="K289" s="23">
        <f>MIN(D$8,J289)+MAX(0,MIN(J289-MIN(D$8,J289),$C289-((H289-MIN(C$8,G289)))))</f>
        <v/>
      </c>
      <c r="L289" s="23">
        <f>ROUND(J289-K289,2)</f>
        <v/>
      </c>
      <c r="M289" s="23">
        <f>ROUND(O288*(1+E$7/12),2)</f>
        <v/>
      </c>
      <c r="N289" s="23">
        <f>MIN(E$8,M289)+MAX(0,MIN(M289-MIN(E$8,M289),$C289-((H289-MIN(C$8,G289))+(K289-MIN(D$8,J289)))))</f>
        <v/>
      </c>
      <c r="O289" s="23">
        <f>ROUND(M289-N289,2)</f>
        <v/>
      </c>
      <c r="P289" s="23">
        <f>ROUND(R288*(1+F$7/12),2)</f>
        <v/>
      </c>
      <c r="Q289" s="23">
        <f>MIN(F$8,P289)+MAX(0,MIN(P289-MIN(F$8,P289),$C289-((H289-MIN(C$8,G289))+(K289-MIN(D$8,J289))+(N289-MIN(E$8,M289)))))</f>
        <v/>
      </c>
      <c r="R289" s="23">
        <f>ROUND(P289-Q289,2)</f>
        <v/>
      </c>
      <c r="S289" s="23">
        <f>ROUND(U288*(1+G$7/12),2)</f>
        <v/>
      </c>
      <c r="T289" s="23">
        <f>MIN(G$8,S289)+MAX(0,MIN(S289-MIN(G$8,S289),$C289-((H289-MIN(C$8,G289))+(K289-MIN(D$8,J289))+(N289-MIN(E$8,M289))+(Q289-MIN(F$8,P289)))))</f>
        <v/>
      </c>
      <c r="U289" s="23">
        <f>ROUND(S289-T289,2)</f>
        <v/>
      </c>
    </row>
    <row r="290">
      <c r="A290" t="n">
        <v>279</v>
      </c>
      <c r="B290" s="22">
        <f>EDATE(Debts!$B$5,278)</f>
        <v/>
      </c>
      <c r="C290" s="23">
        <f>MAX(0,Debts!$B$6-(MIN(C$8,G290)+MIN(D$8,J290)+MIN(E$8,M290)+MIN(F$8,P290)+MIN(G$8,S290)))</f>
        <v/>
      </c>
      <c r="D290" s="23">
        <f>H290+K290+N290+Q290+T290</f>
        <v/>
      </c>
      <c r="E290" s="23">
        <f>I290+L290+O290+R290+U290</f>
        <v/>
      </c>
      <c r="F290" s="23" t="n"/>
      <c r="G290" s="23">
        <f>ROUND(I289*(1+C$7/12),2)</f>
        <v/>
      </c>
      <c r="H290" s="23">
        <f>MIN(C$8,G290)+MAX(0,MIN(G290-MIN(C$8,G290),$C290-(0)))</f>
        <v/>
      </c>
      <c r="I290" s="23">
        <f>ROUND(G290-H290,2)</f>
        <v/>
      </c>
      <c r="J290" s="23">
        <f>ROUND(L289*(1+D$7/12),2)</f>
        <v/>
      </c>
      <c r="K290" s="23">
        <f>MIN(D$8,J290)+MAX(0,MIN(J290-MIN(D$8,J290),$C290-((H290-MIN(C$8,G290)))))</f>
        <v/>
      </c>
      <c r="L290" s="23">
        <f>ROUND(J290-K290,2)</f>
        <v/>
      </c>
      <c r="M290" s="23">
        <f>ROUND(O289*(1+E$7/12),2)</f>
        <v/>
      </c>
      <c r="N290" s="23">
        <f>MIN(E$8,M290)+MAX(0,MIN(M290-MIN(E$8,M290),$C290-((H290-MIN(C$8,G290))+(K290-MIN(D$8,J290)))))</f>
        <v/>
      </c>
      <c r="O290" s="23">
        <f>ROUND(M290-N290,2)</f>
        <v/>
      </c>
      <c r="P290" s="23">
        <f>ROUND(R289*(1+F$7/12),2)</f>
        <v/>
      </c>
      <c r="Q290" s="23">
        <f>MIN(F$8,P290)+MAX(0,MIN(P290-MIN(F$8,P290),$C290-((H290-MIN(C$8,G290))+(K290-MIN(D$8,J290))+(N290-MIN(E$8,M290)))))</f>
        <v/>
      </c>
      <c r="R290" s="23">
        <f>ROUND(P290-Q290,2)</f>
        <v/>
      </c>
      <c r="S290" s="23">
        <f>ROUND(U289*(1+G$7/12),2)</f>
        <v/>
      </c>
      <c r="T290" s="23">
        <f>MIN(G$8,S290)+MAX(0,MIN(S290-MIN(G$8,S290),$C290-((H290-MIN(C$8,G290))+(K290-MIN(D$8,J290))+(N290-MIN(E$8,M290))+(Q290-MIN(F$8,P290)))))</f>
        <v/>
      </c>
      <c r="U290" s="23">
        <f>ROUND(S290-T290,2)</f>
        <v/>
      </c>
    </row>
    <row r="291">
      <c r="A291" t="n">
        <v>280</v>
      </c>
      <c r="B291" s="22">
        <f>EDATE(Debts!$B$5,279)</f>
        <v/>
      </c>
      <c r="C291" s="23">
        <f>MAX(0,Debts!$B$6-(MIN(C$8,G291)+MIN(D$8,J291)+MIN(E$8,M291)+MIN(F$8,P291)+MIN(G$8,S291)))</f>
        <v/>
      </c>
      <c r="D291" s="23">
        <f>H291+K291+N291+Q291+T291</f>
        <v/>
      </c>
      <c r="E291" s="23">
        <f>I291+L291+O291+R291+U291</f>
        <v/>
      </c>
      <c r="F291" s="23" t="n"/>
      <c r="G291" s="23">
        <f>ROUND(I290*(1+C$7/12),2)</f>
        <v/>
      </c>
      <c r="H291" s="23">
        <f>MIN(C$8,G291)+MAX(0,MIN(G291-MIN(C$8,G291),$C291-(0)))</f>
        <v/>
      </c>
      <c r="I291" s="23">
        <f>ROUND(G291-H291,2)</f>
        <v/>
      </c>
      <c r="J291" s="23">
        <f>ROUND(L290*(1+D$7/12),2)</f>
        <v/>
      </c>
      <c r="K291" s="23">
        <f>MIN(D$8,J291)+MAX(0,MIN(J291-MIN(D$8,J291),$C291-((H291-MIN(C$8,G291)))))</f>
        <v/>
      </c>
      <c r="L291" s="23">
        <f>ROUND(J291-K291,2)</f>
        <v/>
      </c>
      <c r="M291" s="23">
        <f>ROUND(O290*(1+E$7/12),2)</f>
        <v/>
      </c>
      <c r="N291" s="23">
        <f>MIN(E$8,M291)+MAX(0,MIN(M291-MIN(E$8,M291),$C291-((H291-MIN(C$8,G291))+(K291-MIN(D$8,J291)))))</f>
        <v/>
      </c>
      <c r="O291" s="23">
        <f>ROUND(M291-N291,2)</f>
        <v/>
      </c>
      <c r="P291" s="23">
        <f>ROUND(R290*(1+F$7/12),2)</f>
        <v/>
      </c>
      <c r="Q291" s="23">
        <f>MIN(F$8,P291)+MAX(0,MIN(P291-MIN(F$8,P291),$C291-((H291-MIN(C$8,G291))+(K291-MIN(D$8,J291))+(N291-MIN(E$8,M291)))))</f>
        <v/>
      </c>
      <c r="R291" s="23">
        <f>ROUND(P291-Q291,2)</f>
        <v/>
      </c>
      <c r="S291" s="23">
        <f>ROUND(U290*(1+G$7/12),2)</f>
        <v/>
      </c>
      <c r="T291" s="23">
        <f>MIN(G$8,S291)+MAX(0,MIN(S291-MIN(G$8,S291),$C291-((H291-MIN(C$8,G291))+(K291-MIN(D$8,J291))+(N291-MIN(E$8,M291))+(Q291-MIN(F$8,P291)))))</f>
        <v/>
      </c>
      <c r="U291" s="23">
        <f>ROUND(S291-T291,2)</f>
        <v/>
      </c>
    </row>
    <row r="292">
      <c r="A292" t="n">
        <v>281</v>
      </c>
      <c r="B292" s="22">
        <f>EDATE(Debts!$B$5,280)</f>
        <v/>
      </c>
      <c r="C292" s="23">
        <f>MAX(0,Debts!$B$6-(MIN(C$8,G292)+MIN(D$8,J292)+MIN(E$8,M292)+MIN(F$8,P292)+MIN(G$8,S292)))</f>
        <v/>
      </c>
      <c r="D292" s="23">
        <f>H292+K292+N292+Q292+T292</f>
        <v/>
      </c>
      <c r="E292" s="23">
        <f>I292+L292+O292+R292+U292</f>
        <v/>
      </c>
      <c r="F292" s="23" t="n"/>
      <c r="G292" s="23">
        <f>ROUND(I291*(1+C$7/12),2)</f>
        <v/>
      </c>
      <c r="H292" s="23">
        <f>MIN(C$8,G292)+MAX(0,MIN(G292-MIN(C$8,G292),$C292-(0)))</f>
        <v/>
      </c>
      <c r="I292" s="23">
        <f>ROUND(G292-H292,2)</f>
        <v/>
      </c>
      <c r="J292" s="23">
        <f>ROUND(L291*(1+D$7/12),2)</f>
        <v/>
      </c>
      <c r="K292" s="23">
        <f>MIN(D$8,J292)+MAX(0,MIN(J292-MIN(D$8,J292),$C292-((H292-MIN(C$8,G292)))))</f>
        <v/>
      </c>
      <c r="L292" s="23">
        <f>ROUND(J292-K292,2)</f>
        <v/>
      </c>
      <c r="M292" s="23">
        <f>ROUND(O291*(1+E$7/12),2)</f>
        <v/>
      </c>
      <c r="N292" s="23">
        <f>MIN(E$8,M292)+MAX(0,MIN(M292-MIN(E$8,M292),$C292-((H292-MIN(C$8,G292))+(K292-MIN(D$8,J292)))))</f>
        <v/>
      </c>
      <c r="O292" s="23">
        <f>ROUND(M292-N292,2)</f>
        <v/>
      </c>
      <c r="P292" s="23">
        <f>ROUND(R291*(1+F$7/12),2)</f>
        <v/>
      </c>
      <c r="Q292" s="23">
        <f>MIN(F$8,P292)+MAX(0,MIN(P292-MIN(F$8,P292),$C292-((H292-MIN(C$8,G292))+(K292-MIN(D$8,J292))+(N292-MIN(E$8,M292)))))</f>
        <v/>
      </c>
      <c r="R292" s="23">
        <f>ROUND(P292-Q292,2)</f>
        <v/>
      </c>
      <c r="S292" s="23">
        <f>ROUND(U291*(1+G$7/12),2)</f>
        <v/>
      </c>
      <c r="T292" s="23">
        <f>MIN(G$8,S292)+MAX(0,MIN(S292-MIN(G$8,S292),$C292-((H292-MIN(C$8,G292))+(K292-MIN(D$8,J292))+(N292-MIN(E$8,M292))+(Q292-MIN(F$8,P292)))))</f>
        <v/>
      </c>
      <c r="U292" s="23">
        <f>ROUND(S292-T292,2)</f>
        <v/>
      </c>
    </row>
    <row r="293">
      <c r="A293" t="n">
        <v>282</v>
      </c>
      <c r="B293" s="22">
        <f>EDATE(Debts!$B$5,281)</f>
        <v/>
      </c>
      <c r="C293" s="23">
        <f>MAX(0,Debts!$B$6-(MIN(C$8,G293)+MIN(D$8,J293)+MIN(E$8,M293)+MIN(F$8,P293)+MIN(G$8,S293)))</f>
        <v/>
      </c>
      <c r="D293" s="23">
        <f>H293+K293+N293+Q293+T293</f>
        <v/>
      </c>
      <c r="E293" s="23">
        <f>I293+L293+O293+R293+U293</f>
        <v/>
      </c>
      <c r="F293" s="23" t="n"/>
      <c r="G293" s="23">
        <f>ROUND(I292*(1+C$7/12),2)</f>
        <v/>
      </c>
      <c r="H293" s="23">
        <f>MIN(C$8,G293)+MAX(0,MIN(G293-MIN(C$8,G293),$C293-(0)))</f>
        <v/>
      </c>
      <c r="I293" s="23">
        <f>ROUND(G293-H293,2)</f>
        <v/>
      </c>
      <c r="J293" s="23">
        <f>ROUND(L292*(1+D$7/12),2)</f>
        <v/>
      </c>
      <c r="K293" s="23">
        <f>MIN(D$8,J293)+MAX(0,MIN(J293-MIN(D$8,J293),$C293-((H293-MIN(C$8,G293)))))</f>
        <v/>
      </c>
      <c r="L293" s="23">
        <f>ROUND(J293-K293,2)</f>
        <v/>
      </c>
      <c r="M293" s="23">
        <f>ROUND(O292*(1+E$7/12),2)</f>
        <v/>
      </c>
      <c r="N293" s="23">
        <f>MIN(E$8,M293)+MAX(0,MIN(M293-MIN(E$8,M293),$C293-((H293-MIN(C$8,G293))+(K293-MIN(D$8,J293)))))</f>
        <v/>
      </c>
      <c r="O293" s="23">
        <f>ROUND(M293-N293,2)</f>
        <v/>
      </c>
      <c r="P293" s="23">
        <f>ROUND(R292*(1+F$7/12),2)</f>
        <v/>
      </c>
      <c r="Q293" s="23">
        <f>MIN(F$8,P293)+MAX(0,MIN(P293-MIN(F$8,P293),$C293-((H293-MIN(C$8,G293))+(K293-MIN(D$8,J293))+(N293-MIN(E$8,M293)))))</f>
        <v/>
      </c>
      <c r="R293" s="23">
        <f>ROUND(P293-Q293,2)</f>
        <v/>
      </c>
      <c r="S293" s="23">
        <f>ROUND(U292*(1+G$7/12),2)</f>
        <v/>
      </c>
      <c r="T293" s="23">
        <f>MIN(G$8,S293)+MAX(0,MIN(S293-MIN(G$8,S293),$C293-((H293-MIN(C$8,G293))+(K293-MIN(D$8,J293))+(N293-MIN(E$8,M293))+(Q293-MIN(F$8,P293)))))</f>
        <v/>
      </c>
      <c r="U293" s="23">
        <f>ROUND(S293-T293,2)</f>
        <v/>
      </c>
    </row>
    <row r="294">
      <c r="A294" t="n">
        <v>283</v>
      </c>
      <c r="B294" s="22">
        <f>EDATE(Debts!$B$5,282)</f>
        <v/>
      </c>
      <c r="C294" s="23">
        <f>MAX(0,Debts!$B$6-(MIN(C$8,G294)+MIN(D$8,J294)+MIN(E$8,M294)+MIN(F$8,P294)+MIN(G$8,S294)))</f>
        <v/>
      </c>
      <c r="D294" s="23">
        <f>H294+K294+N294+Q294+T294</f>
        <v/>
      </c>
      <c r="E294" s="23">
        <f>I294+L294+O294+R294+U294</f>
        <v/>
      </c>
      <c r="F294" s="23" t="n"/>
      <c r="G294" s="23">
        <f>ROUND(I293*(1+C$7/12),2)</f>
        <v/>
      </c>
      <c r="H294" s="23">
        <f>MIN(C$8,G294)+MAX(0,MIN(G294-MIN(C$8,G294),$C294-(0)))</f>
        <v/>
      </c>
      <c r="I294" s="23">
        <f>ROUND(G294-H294,2)</f>
        <v/>
      </c>
      <c r="J294" s="23">
        <f>ROUND(L293*(1+D$7/12),2)</f>
        <v/>
      </c>
      <c r="K294" s="23">
        <f>MIN(D$8,J294)+MAX(0,MIN(J294-MIN(D$8,J294),$C294-((H294-MIN(C$8,G294)))))</f>
        <v/>
      </c>
      <c r="L294" s="23">
        <f>ROUND(J294-K294,2)</f>
        <v/>
      </c>
      <c r="M294" s="23">
        <f>ROUND(O293*(1+E$7/12),2)</f>
        <v/>
      </c>
      <c r="N294" s="23">
        <f>MIN(E$8,M294)+MAX(0,MIN(M294-MIN(E$8,M294),$C294-((H294-MIN(C$8,G294))+(K294-MIN(D$8,J294)))))</f>
        <v/>
      </c>
      <c r="O294" s="23">
        <f>ROUND(M294-N294,2)</f>
        <v/>
      </c>
      <c r="P294" s="23">
        <f>ROUND(R293*(1+F$7/12),2)</f>
        <v/>
      </c>
      <c r="Q294" s="23">
        <f>MIN(F$8,P294)+MAX(0,MIN(P294-MIN(F$8,P294),$C294-((H294-MIN(C$8,G294))+(K294-MIN(D$8,J294))+(N294-MIN(E$8,M294)))))</f>
        <v/>
      </c>
      <c r="R294" s="23">
        <f>ROUND(P294-Q294,2)</f>
        <v/>
      </c>
      <c r="S294" s="23">
        <f>ROUND(U293*(1+G$7/12),2)</f>
        <v/>
      </c>
      <c r="T294" s="23">
        <f>MIN(G$8,S294)+MAX(0,MIN(S294-MIN(G$8,S294),$C294-((H294-MIN(C$8,G294))+(K294-MIN(D$8,J294))+(N294-MIN(E$8,M294))+(Q294-MIN(F$8,P294)))))</f>
        <v/>
      </c>
      <c r="U294" s="23">
        <f>ROUND(S294-T294,2)</f>
        <v/>
      </c>
    </row>
    <row r="295">
      <c r="A295" t="n">
        <v>284</v>
      </c>
      <c r="B295" s="22">
        <f>EDATE(Debts!$B$5,283)</f>
        <v/>
      </c>
      <c r="C295" s="23">
        <f>MAX(0,Debts!$B$6-(MIN(C$8,G295)+MIN(D$8,J295)+MIN(E$8,M295)+MIN(F$8,P295)+MIN(G$8,S295)))</f>
        <v/>
      </c>
      <c r="D295" s="23">
        <f>H295+K295+N295+Q295+T295</f>
        <v/>
      </c>
      <c r="E295" s="23">
        <f>I295+L295+O295+R295+U295</f>
        <v/>
      </c>
      <c r="F295" s="23" t="n"/>
      <c r="G295" s="23">
        <f>ROUND(I294*(1+C$7/12),2)</f>
        <v/>
      </c>
      <c r="H295" s="23">
        <f>MIN(C$8,G295)+MAX(0,MIN(G295-MIN(C$8,G295),$C295-(0)))</f>
        <v/>
      </c>
      <c r="I295" s="23">
        <f>ROUND(G295-H295,2)</f>
        <v/>
      </c>
      <c r="J295" s="23">
        <f>ROUND(L294*(1+D$7/12),2)</f>
        <v/>
      </c>
      <c r="K295" s="23">
        <f>MIN(D$8,J295)+MAX(0,MIN(J295-MIN(D$8,J295),$C295-((H295-MIN(C$8,G295)))))</f>
        <v/>
      </c>
      <c r="L295" s="23">
        <f>ROUND(J295-K295,2)</f>
        <v/>
      </c>
      <c r="M295" s="23">
        <f>ROUND(O294*(1+E$7/12),2)</f>
        <v/>
      </c>
      <c r="N295" s="23">
        <f>MIN(E$8,M295)+MAX(0,MIN(M295-MIN(E$8,M295),$C295-((H295-MIN(C$8,G295))+(K295-MIN(D$8,J295)))))</f>
        <v/>
      </c>
      <c r="O295" s="23">
        <f>ROUND(M295-N295,2)</f>
        <v/>
      </c>
      <c r="P295" s="23">
        <f>ROUND(R294*(1+F$7/12),2)</f>
        <v/>
      </c>
      <c r="Q295" s="23">
        <f>MIN(F$8,P295)+MAX(0,MIN(P295-MIN(F$8,P295),$C295-((H295-MIN(C$8,G295))+(K295-MIN(D$8,J295))+(N295-MIN(E$8,M295)))))</f>
        <v/>
      </c>
      <c r="R295" s="23">
        <f>ROUND(P295-Q295,2)</f>
        <v/>
      </c>
      <c r="S295" s="23">
        <f>ROUND(U294*(1+G$7/12),2)</f>
        <v/>
      </c>
      <c r="T295" s="23">
        <f>MIN(G$8,S295)+MAX(0,MIN(S295-MIN(G$8,S295),$C295-((H295-MIN(C$8,G295))+(K295-MIN(D$8,J295))+(N295-MIN(E$8,M295))+(Q295-MIN(F$8,P295)))))</f>
        <v/>
      </c>
      <c r="U295" s="23">
        <f>ROUND(S295-T295,2)</f>
        <v/>
      </c>
    </row>
    <row r="296">
      <c r="A296" t="n">
        <v>285</v>
      </c>
      <c r="B296" s="22">
        <f>EDATE(Debts!$B$5,284)</f>
        <v/>
      </c>
      <c r="C296" s="23">
        <f>MAX(0,Debts!$B$6-(MIN(C$8,G296)+MIN(D$8,J296)+MIN(E$8,M296)+MIN(F$8,P296)+MIN(G$8,S296)))</f>
        <v/>
      </c>
      <c r="D296" s="23">
        <f>H296+K296+N296+Q296+T296</f>
        <v/>
      </c>
      <c r="E296" s="23">
        <f>I296+L296+O296+R296+U296</f>
        <v/>
      </c>
      <c r="F296" s="23" t="n"/>
      <c r="G296" s="23">
        <f>ROUND(I295*(1+C$7/12),2)</f>
        <v/>
      </c>
      <c r="H296" s="23">
        <f>MIN(C$8,G296)+MAX(0,MIN(G296-MIN(C$8,G296),$C296-(0)))</f>
        <v/>
      </c>
      <c r="I296" s="23">
        <f>ROUND(G296-H296,2)</f>
        <v/>
      </c>
      <c r="J296" s="23">
        <f>ROUND(L295*(1+D$7/12),2)</f>
        <v/>
      </c>
      <c r="K296" s="23">
        <f>MIN(D$8,J296)+MAX(0,MIN(J296-MIN(D$8,J296),$C296-((H296-MIN(C$8,G296)))))</f>
        <v/>
      </c>
      <c r="L296" s="23">
        <f>ROUND(J296-K296,2)</f>
        <v/>
      </c>
      <c r="M296" s="23">
        <f>ROUND(O295*(1+E$7/12),2)</f>
        <v/>
      </c>
      <c r="N296" s="23">
        <f>MIN(E$8,M296)+MAX(0,MIN(M296-MIN(E$8,M296),$C296-((H296-MIN(C$8,G296))+(K296-MIN(D$8,J296)))))</f>
        <v/>
      </c>
      <c r="O296" s="23">
        <f>ROUND(M296-N296,2)</f>
        <v/>
      </c>
      <c r="P296" s="23">
        <f>ROUND(R295*(1+F$7/12),2)</f>
        <v/>
      </c>
      <c r="Q296" s="23">
        <f>MIN(F$8,P296)+MAX(0,MIN(P296-MIN(F$8,P296),$C296-((H296-MIN(C$8,G296))+(K296-MIN(D$8,J296))+(N296-MIN(E$8,M296)))))</f>
        <v/>
      </c>
      <c r="R296" s="23">
        <f>ROUND(P296-Q296,2)</f>
        <v/>
      </c>
      <c r="S296" s="23">
        <f>ROUND(U295*(1+G$7/12),2)</f>
        <v/>
      </c>
      <c r="T296" s="23">
        <f>MIN(G$8,S296)+MAX(0,MIN(S296-MIN(G$8,S296),$C296-((H296-MIN(C$8,G296))+(K296-MIN(D$8,J296))+(N296-MIN(E$8,M296))+(Q296-MIN(F$8,P296)))))</f>
        <v/>
      </c>
      <c r="U296" s="23">
        <f>ROUND(S296-T296,2)</f>
        <v/>
      </c>
    </row>
    <row r="297">
      <c r="A297" t="n">
        <v>286</v>
      </c>
      <c r="B297" s="22">
        <f>EDATE(Debts!$B$5,285)</f>
        <v/>
      </c>
      <c r="C297" s="23">
        <f>MAX(0,Debts!$B$6-(MIN(C$8,G297)+MIN(D$8,J297)+MIN(E$8,M297)+MIN(F$8,P297)+MIN(G$8,S297)))</f>
        <v/>
      </c>
      <c r="D297" s="23">
        <f>H297+K297+N297+Q297+T297</f>
        <v/>
      </c>
      <c r="E297" s="23">
        <f>I297+L297+O297+R297+U297</f>
        <v/>
      </c>
      <c r="F297" s="23" t="n"/>
      <c r="G297" s="23">
        <f>ROUND(I296*(1+C$7/12),2)</f>
        <v/>
      </c>
      <c r="H297" s="23">
        <f>MIN(C$8,G297)+MAX(0,MIN(G297-MIN(C$8,G297),$C297-(0)))</f>
        <v/>
      </c>
      <c r="I297" s="23">
        <f>ROUND(G297-H297,2)</f>
        <v/>
      </c>
      <c r="J297" s="23">
        <f>ROUND(L296*(1+D$7/12),2)</f>
        <v/>
      </c>
      <c r="K297" s="23">
        <f>MIN(D$8,J297)+MAX(0,MIN(J297-MIN(D$8,J297),$C297-((H297-MIN(C$8,G297)))))</f>
        <v/>
      </c>
      <c r="L297" s="23">
        <f>ROUND(J297-K297,2)</f>
        <v/>
      </c>
      <c r="M297" s="23">
        <f>ROUND(O296*(1+E$7/12),2)</f>
        <v/>
      </c>
      <c r="N297" s="23">
        <f>MIN(E$8,M297)+MAX(0,MIN(M297-MIN(E$8,M297),$C297-((H297-MIN(C$8,G297))+(K297-MIN(D$8,J297)))))</f>
        <v/>
      </c>
      <c r="O297" s="23">
        <f>ROUND(M297-N297,2)</f>
        <v/>
      </c>
      <c r="P297" s="23">
        <f>ROUND(R296*(1+F$7/12),2)</f>
        <v/>
      </c>
      <c r="Q297" s="23">
        <f>MIN(F$8,P297)+MAX(0,MIN(P297-MIN(F$8,P297),$C297-((H297-MIN(C$8,G297))+(K297-MIN(D$8,J297))+(N297-MIN(E$8,M297)))))</f>
        <v/>
      </c>
      <c r="R297" s="23">
        <f>ROUND(P297-Q297,2)</f>
        <v/>
      </c>
      <c r="S297" s="23">
        <f>ROUND(U296*(1+G$7/12),2)</f>
        <v/>
      </c>
      <c r="T297" s="23">
        <f>MIN(G$8,S297)+MAX(0,MIN(S297-MIN(G$8,S297),$C297-((H297-MIN(C$8,G297))+(K297-MIN(D$8,J297))+(N297-MIN(E$8,M297))+(Q297-MIN(F$8,P297)))))</f>
        <v/>
      </c>
      <c r="U297" s="23">
        <f>ROUND(S297-T297,2)</f>
        <v/>
      </c>
    </row>
    <row r="298">
      <c r="A298" t="n">
        <v>287</v>
      </c>
      <c r="B298" s="22">
        <f>EDATE(Debts!$B$5,286)</f>
        <v/>
      </c>
      <c r="C298" s="23">
        <f>MAX(0,Debts!$B$6-(MIN(C$8,G298)+MIN(D$8,J298)+MIN(E$8,M298)+MIN(F$8,P298)+MIN(G$8,S298)))</f>
        <v/>
      </c>
      <c r="D298" s="23">
        <f>H298+K298+N298+Q298+T298</f>
        <v/>
      </c>
      <c r="E298" s="23">
        <f>I298+L298+O298+R298+U298</f>
        <v/>
      </c>
      <c r="F298" s="23" t="n"/>
      <c r="G298" s="23">
        <f>ROUND(I297*(1+C$7/12),2)</f>
        <v/>
      </c>
      <c r="H298" s="23">
        <f>MIN(C$8,G298)+MAX(0,MIN(G298-MIN(C$8,G298),$C298-(0)))</f>
        <v/>
      </c>
      <c r="I298" s="23">
        <f>ROUND(G298-H298,2)</f>
        <v/>
      </c>
      <c r="J298" s="23">
        <f>ROUND(L297*(1+D$7/12),2)</f>
        <v/>
      </c>
      <c r="K298" s="23">
        <f>MIN(D$8,J298)+MAX(0,MIN(J298-MIN(D$8,J298),$C298-((H298-MIN(C$8,G298)))))</f>
        <v/>
      </c>
      <c r="L298" s="23">
        <f>ROUND(J298-K298,2)</f>
        <v/>
      </c>
      <c r="M298" s="23">
        <f>ROUND(O297*(1+E$7/12),2)</f>
        <v/>
      </c>
      <c r="N298" s="23">
        <f>MIN(E$8,M298)+MAX(0,MIN(M298-MIN(E$8,M298),$C298-((H298-MIN(C$8,G298))+(K298-MIN(D$8,J298)))))</f>
        <v/>
      </c>
      <c r="O298" s="23">
        <f>ROUND(M298-N298,2)</f>
        <v/>
      </c>
      <c r="P298" s="23">
        <f>ROUND(R297*(1+F$7/12),2)</f>
        <v/>
      </c>
      <c r="Q298" s="23">
        <f>MIN(F$8,P298)+MAX(0,MIN(P298-MIN(F$8,P298),$C298-((H298-MIN(C$8,G298))+(K298-MIN(D$8,J298))+(N298-MIN(E$8,M298)))))</f>
        <v/>
      </c>
      <c r="R298" s="23">
        <f>ROUND(P298-Q298,2)</f>
        <v/>
      </c>
      <c r="S298" s="23">
        <f>ROUND(U297*(1+G$7/12),2)</f>
        <v/>
      </c>
      <c r="T298" s="23">
        <f>MIN(G$8,S298)+MAX(0,MIN(S298-MIN(G$8,S298),$C298-((H298-MIN(C$8,G298))+(K298-MIN(D$8,J298))+(N298-MIN(E$8,M298))+(Q298-MIN(F$8,P298)))))</f>
        <v/>
      </c>
      <c r="U298" s="23">
        <f>ROUND(S298-T298,2)</f>
        <v/>
      </c>
    </row>
    <row r="299">
      <c r="A299" t="n">
        <v>288</v>
      </c>
      <c r="B299" s="22">
        <f>EDATE(Debts!$B$5,287)</f>
        <v/>
      </c>
      <c r="C299" s="23">
        <f>MAX(0,Debts!$B$6-(MIN(C$8,G299)+MIN(D$8,J299)+MIN(E$8,M299)+MIN(F$8,P299)+MIN(G$8,S299)))</f>
        <v/>
      </c>
      <c r="D299" s="23">
        <f>H299+K299+N299+Q299+T299</f>
        <v/>
      </c>
      <c r="E299" s="23">
        <f>I299+L299+O299+R299+U299</f>
        <v/>
      </c>
      <c r="F299" s="23" t="n"/>
      <c r="G299" s="23">
        <f>ROUND(I298*(1+C$7/12),2)</f>
        <v/>
      </c>
      <c r="H299" s="23">
        <f>MIN(C$8,G299)+MAX(0,MIN(G299-MIN(C$8,G299),$C299-(0)))</f>
        <v/>
      </c>
      <c r="I299" s="23">
        <f>ROUND(G299-H299,2)</f>
        <v/>
      </c>
      <c r="J299" s="23">
        <f>ROUND(L298*(1+D$7/12),2)</f>
        <v/>
      </c>
      <c r="K299" s="23">
        <f>MIN(D$8,J299)+MAX(0,MIN(J299-MIN(D$8,J299),$C299-((H299-MIN(C$8,G299)))))</f>
        <v/>
      </c>
      <c r="L299" s="23">
        <f>ROUND(J299-K299,2)</f>
        <v/>
      </c>
      <c r="M299" s="23">
        <f>ROUND(O298*(1+E$7/12),2)</f>
        <v/>
      </c>
      <c r="N299" s="23">
        <f>MIN(E$8,M299)+MAX(0,MIN(M299-MIN(E$8,M299),$C299-((H299-MIN(C$8,G299))+(K299-MIN(D$8,J299)))))</f>
        <v/>
      </c>
      <c r="O299" s="23">
        <f>ROUND(M299-N299,2)</f>
        <v/>
      </c>
      <c r="P299" s="23">
        <f>ROUND(R298*(1+F$7/12),2)</f>
        <v/>
      </c>
      <c r="Q299" s="23">
        <f>MIN(F$8,P299)+MAX(0,MIN(P299-MIN(F$8,P299),$C299-((H299-MIN(C$8,G299))+(K299-MIN(D$8,J299))+(N299-MIN(E$8,M299)))))</f>
        <v/>
      </c>
      <c r="R299" s="23">
        <f>ROUND(P299-Q299,2)</f>
        <v/>
      </c>
      <c r="S299" s="23">
        <f>ROUND(U298*(1+G$7/12),2)</f>
        <v/>
      </c>
      <c r="T299" s="23">
        <f>MIN(G$8,S299)+MAX(0,MIN(S299-MIN(G$8,S299),$C299-((H299-MIN(C$8,G299))+(K299-MIN(D$8,J299))+(N299-MIN(E$8,M299))+(Q299-MIN(F$8,P299)))))</f>
        <v/>
      </c>
      <c r="U299" s="23">
        <f>ROUND(S299-T299,2)</f>
        <v/>
      </c>
    </row>
    <row r="300">
      <c r="A300" t="n">
        <v>289</v>
      </c>
      <c r="B300" s="22">
        <f>EDATE(Debts!$B$5,288)</f>
        <v/>
      </c>
      <c r="C300" s="23">
        <f>MAX(0,Debts!$B$6-(MIN(C$8,G300)+MIN(D$8,J300)+MIN(E$8,M300)+MIN(F$8,P300)+MIN(G$8,S300)))</f>
        <v/>
      </c>
      <c r="D300" s="23">
        <f>H300+K300+N300+Q300+T300</f>
        <v/>
      </c>
      <c r="E300" s="23">
        <f>I300+L300+O300+R300+U300</f>
        <v/>
      </c>
      <c r="F300" s="23" t="n"/>
      <c r="G300" s="23">
        <f>ROUND(I299*(1+C$7/12),2)</f>
        <v/>
      </c>
      <c r="H300" s="23">
        <f>MIN(C$8,G300)+MAX(0,MIN(G300-MIN(C$8,G300),$C300-(0)))</f>
        <v/>
      </c>
      <c r="I300" s="23">
        <f>ROUND(G300-H300,2)</f>
        <v/>
      </c>
      <c r="J300" s="23">
        <f>ROUND(L299*(1+D$7/12),2)</f>
        <v/>
      </c>
      <c r="K300" s="23">
        <f>MIN(D$8,J300)+MAX(0,MIN(J300-MIN(D$8,J300),$C300-((H300-MIN(C$8,G300)))))</f>
        <v/>
      </c>
      <c r="L300" s="23">
        <f>ROUND(J300-K300,2)</f>
        <v/>
      </c>
      <c r="M300" s="23">
        <f>ROUND(O299*(1+E$7/12),2)</f>
        <v/>
      </c>
      <c r="N300" s="23">
        <f>MIN(E$8,M300)+MAX(0,MIN(M300-MIN(E$8,M300),$C300-((H300-MIN(C$8,G300))+(K300-MIN(D$8,J300)))))</f>
        <v/>
      </c>
      <c r="O300" s="23">
        <f>ROUND(M300-N300,2)</f>
        <v/>
      </c>
      <c r="P300" s="23">
        <f>ROUND(R299*(1+F$7/12),2)</f>
        <v/>
      </c>
      <c r="Q300" s="23">
        <f>MIN(F$8,P300)+MAX(0,MIN(P300-MIN(F$8,P300),$C300-((H300-MIN(C$8,G300))+(K300-MIN(D$8,J300))+(N300-MIN(E$8,M300)))))</f>
        <v/>
      </c>
      <c r="R300" s="23">
        <f>ROUND(P300-Q300,2)</f>
        <v/>
      </c>
      <c r="S300" s="23">
        <f>ROUND(U299*(1+G$7/12),2)</f>
        <v/>
      </c>
      <c r="T300" s="23">
        <f>MIN(G$8,S300)+MAX(0,MIN(S300-MIN(G$8,S300),$C300-((H300-MIN(C$8,G300))+(K300-MIN(D$8,J300))+(N300-MIN(E$8,M300))+(Q300-MIN(F$8,P300)))))</f>
        <v/>
      </c>
      <c r="U300" s="23">
        <f>ROUND(S300-T300,2)</f>
        <v/>
      </c>
    </row>
    <row r="301">
      <c r="A301" t="n">
        <v>290</v>
      </c>
      <c r="B301" s="22">
        <f>EDATE(Debts!$B$5,289)</f>
        <v/>
      </c>
      <c r="C301" s="23">
        <f>MAX(0,Debts!$B$6-(MIN(C$8,G301)+MIN(D$8,J301)+MIN(E$8,M301)+MIN(F$8,P301)+MIN(G$8,S301)))</f>
        <v/>
      </c>
      <c r="D301" s="23">
        <f>H301+K301+N301+Q301+T301</f>
        <v/>
      </c>
      <c r="E301" s="23">
        <f>I301+L301+O301+R301+U301</f>
        <v/>
      </c>
      <c r="F301" s="23" t="n"/>
      <c r="G301" s="23">
        <f>ROUND(I300*(1+C$7/12),2)</f>
        <v/>
      </c>
      <c r="H301" s="23">
        <f>MIN(C$8,G301)+MAX(0,MIN(G301-MIN(C$8,G301),$C301-(0)))</f>
        <v/>
      </c>
      <c r="I301" s="23">
        <f>ROUND(G301-H301,2)</f>
        <v/>
      </c>
      <c r="J301" s="23">
        <f>ROUND(L300*(1+D$7/12),2)</f>
        <v/>
      </c>
      <c r="K301" s="23">
        <f>MIN(D$8,J301)+MAX(0,MIN(J301-MIN(D$8,J301),$C301-((H301-MIN(C$8,G301)))))</f>
        <v/>
      </c>
      <c r="L301" s="23">
        <f>ROUND(J301-K301,2)</f>
        <v/>
      </c>
      <c r="M301" s="23">
        <f>ROUND(O300*(1+E$7/12),2)</f>
        <v/>
      </c>
      <c r="N301" s="23">
        <f>MIN(E$8,M301)+MAX(0,MIN(M301-MIN(E$8,M301),$C301-((H301-MIN(C$8,G301))+(K301-MIN(D$8,J301)))))</f>
        <v/>
      </c>
      <c r="O301" s="23">
        <f>ROUND(M301-N301,2)</f>
        <v/>
      </c>
      <c r="P301" s="23">
        <f>ROUND(R300*(1+F$7/12),2)</f>
        <v/>
      </c>
      <c r="Q301" s="23">
        <f>MIN(F$8,P301)+MAX(0,MIN(P301-MIN(F$8,P301),$C301-((H301-MIN(C$8,G301))+(K301-MIN(D$8,J301))+(N301-MIN(E$8,M301)))))</f>
        <v/>
      </c>
      <c r="R301" s="23">
        <f>ROUND(P301-Q301,2)</f>
        <v/>
      </c>
      <c r="S301" s="23">
        <f>ROUND(U300*(1+G$7/12),2)</f>
        <v/>
      </c>
      <c r="T301" s="23">
        <f>MIN(G$8,S301)+MAX(0,MIN(S301-MIN(G$8,S301),$C301-((H301-MIN(C$8,G301))+(K301-MIN(D$8,J301))+(N301-MIN(E$8,M301))+(Q301-MIN(F$8,P301)))))</f>
        <v/>
      </c>
      <c r="U301" s="23">
        <f>ROUND(S301-T301,2)</f>
        <v/>
      </c>
    </row>
    <row r="302">
      <c r="A302" t="n">
        <v>291</v>
      </c>
      <c r="B302" s="22">
        <f>EDATE(Debts!$B$5,290)</f>
        <v/>
      </c>
      <c r="C302" s="23">
        <f>MAX(0,Debts!$B$6-(MIN(C$8,G302)+MIN(D$8,J302)+MIN(E$8,M302)+MIN(F$8,P302)+MIN(G$8,S302)))</f>
        <v/>
      </c>
      <c r="D302" s="23">
        <f>H302+K302+N302+Q302+T302</f>
        <v/>
      </c>
      <c r="E302" s="23">
        <f>I302+L302+O302+R302+U302</f>
        <v/>
      </c>
      <c r="F302" s="23" t="n"/>
      <c r="G302" s="23">
        <f>ROUND(I301*(1+C$7/12),2)</f>
        <v/>
      </c>
      <c r="H302" s="23">
        <f>MIN(C$8,G302)+MAX(0,MIN(G302-MIN(C$8,G302),$C302-(0)))</f>
        <v/>
      </c>
      <c r="I302" s="23">
        <f>ROUND(G302-H302,2)</f>
        <v/>
      </c>
      <c r="J302" s="23">
        <f>ROUND(L301*(1+D$7/12),2)</f>
        <v/>
      </c>
      <c r="K302" s="23">
        <f>MIN(D$8,J302)+MAX(0,MIN(J302-MIN(D$8,J302),$C302-((H302-MIN(C$8,G302)))))</f>
        <v/>
      </c>
      <c r="L302" s="23">
        <f>ROUND(J302-K302,2)</f>
        <v/>
      </c>
      <c r="M302" s="23">
        <f>ROUND(O301*(1+E$7/12),2)</f>
        <v/>
      </c>
      <c r="N302" s="23">
        <f>MIN(E$8,M302)+MAX(0,MIN(M302-MIN(E$8,M302),$C302-((H302-MIN(C$8,G302))+(K302-MIN(D$8,J302)))))</f>
        <v/>
      </c>
      <c r="O302" s="23">
        <f>ROUND(M302-N302,2)</f>
        <v/>
      </c>
      <c r="P302" s="23">
        <f>ROUND(R301*(1+F$7/12),2)</f>
        <v/>
      </c>
      <c r="Q302" s="23">
        <f>MIN(F$8,P302)+MAX(0,MIN(P302-MIN(F$8,P302),$C302-((H302-MIN(C$8,G302))+(K302-MIN(D$8,J302))+(N302-MIN(E$8,M302)))))</f>
        <v/>
      </c>
      <c r="R302" s="23">
        <f>ROUND(P302-Q302,2)</f>
        <v/>
      </c>
      <c r="S302" s="23">
        <f>ROUND(U301*(1+G$7/12),2)</f>
        <v/>
      </c>
      <c r="T302" s="23">
        <f>MIN(G$8,S302)+MAX(0,MIN(S302-MIN(G$8,S302),$C302-((H302-MIN(C$8,G302))+(K302-MIN(D$8,J302))+(N302-MIN(E$8,M302))+(Q302-MIN(F$8,P302)))))</f>
        <v/>
      </c>
      <c r="U302" s="23">
        <f>ROUND(S302-T302,2)</f>
        <v/>
      </c>
    </row>
    <row r="303">
      <c r="A303" t="n">
        <v>292</v>
      </c>
      <c r="B303" s="22">
        <f>EDATE(Debts!$B$5,291)</f>
        <v/>
      </c>
      <c r="C303" s="23">
        <f>MAX(0,Debts!$B$6-(MIN(C$8,G303)+MIN(D$8,J303)+MIN(E$8,M303)+MIN(F$8,P303)+MIN(G$8,S303)))</f>
        <v/>
      </c>
      <c r="D303" s="23">
        <f>H303+K303+N303+Q303+T303</f>
        <v/>
      </c>
      <c r="E303" s="23">
        <f>I303+L303+O303+R303+U303</f>
        <v/>
      </c>
      <c r="F303" s="23" t="n"/>
      <c r="G303" s="23">
        <f>ROUND(I302*(1+C$7/12),2)</f>
        <v/>
      </c>
      <c r="H303" s="23">
        <f>MIN(C$8,G303)+MAX(0,MIN(G303-MIN(C$8,G303),$C303-(0)))</f>
        <v/>
      </c>
      <c r="I303" s="23">
        <f>ROUND(G303-H303,2)</f>
        <v/>
      </c>
      <c r="J303" s="23">
        <f>ROUND(L302*(1+D$7/12),2)</f>
        <v/>
      </c>
      <c r="K303" s="23">
        <f>MIN(D$8,J303)+MAX(0,MIN(J303-MIN(D$8,J303),$C303-((H303-MIN(C$8,G303)))))</f>
        <v/>
      </c>
      <c r="L303" s="23">
        <f>ROUND(J303-K303,2)</f>
        <v/>
      </c>
      <c r="M303" s="23">
        <f>ROUND(O302*(1+E$7/12),2)</f>
        <v/>
      </c>
      <c r="N303" s="23">
        <f>MIN(E$8,M303)+MAX(0,MIN(M303-MIN(E$8,M303),$C303-((H303-MIN(C$8,G303))+(K303-MIN(D$8,J303)))))</f>
        <v/>
      </c>
      <c r="O303" s="23">
        <f>ROUND(M303-N303,2)</f>
        <v/>
      </c>
      <c r="P303" s="23">
        <f>ROUND(R302*(1+F$7/12),2)</f>
        <v/>
      </c>
      <c r="Q303" s="23">
        <f>MIN(F$8,P303)+MAX(0,MIN(P303-MIN(F$8,P303),$C303-((H303-MIN(C$8,G303))+(K303-MIN(D$8,J303))+(N303-MIN(E$8,M303)))))</f>
        <v/>
      </c>
      <c r="R303" s="23">
        <f>ROUND(P303-Q303,2)</f>
        <v/>
      </c>
      <c r="S303" s="23">
        <f>ROUND(U302*(1+G$7/12),2)</f>
        <v/>
      </c>
      <c r="T303" s="23">
        <f>MIN(G$8,S303)+MAX(0,MIN(S303-MIN(G$8,S303),$C303-((H303-MIN(C$8,G303))+(K303-MIN(D$8,J303))+(N303-MIN(E$8,M303))+(Q303-MIN(F$8,P303)))))</f>
        <v/>
      </c>
      <c r="U303" s="23">
        <f>ROUND(S303-T303,2)</f>
        <v/>
      </c>
    </row>
    <row r="304">
      <c r="A304" t="n">
        <v>293</v>
      </c>
      <c r="B304" s="22">
        <f>EDATE(Debts!$B$5,292)</f>
        <v/>
      </c>
      <c r="C304" s="23">
        <f>MAX(0,Debts!$B$6-(MIN(C$8,G304)+MIN(D$8,J304)+MIN(E$8,M304)+MIN(F$8,P304)+MIN(G$8,S304)))</f>
        <v/>
      </c>
      <c r="D304" s="23">
        <f>H304+K304+N304+Q304+T304</f>
        <v/>
      </c>
      <c r="E304" s="23">
        <f>I304+L304+O304+R304+U304</f>
        <v/>
      </c>
      <c r="F304" s="23" t="n"/>
      <c r="G304" s="23">
        <f>ROUND(I303*(1+C$7/12),2)</f>
        <v/>
      </c>
      <c r="H304" s="23">
        <f>MIN(C$8,G304)+MAX(0,MIN(G304-MIN(C$8,G304),$C304-(0)))</f>
        <v/>
      </c>
      <c r="I304" s="23">
        <f>ROUND(G304-H304,2)</f>
        <v/>
      </c>
      <c r="J304" s="23">
        <f>ROUND(L303*(1+D$7/12),2)</f>
        <v/>
      </c>
      <c r="K304" s="23">
        <f>MIN(D$8,J304)+MAX(0,MIN(J304-MIN(D$8,J304),$C304-((H304-MIN(C$8,G304)))))</f>
        <v/>
      </c>
      <c r="L304" s="23">
        <f>ROUND(J304-K304,2)</f>
        <v/>
      </c>
      <c r="M304" s="23">
        <f>ROUND(O303*(1+E$7/12),2)</f>
        <v/>
      </c>
      <c r="N304" s="23">
        <f>MIN(E$8,M304)+MAX(0,MIN(M304-MIN(E$8,M304),$C304-((H304-MIN(C$8,G304))+(K304-MIN(D$8,J304)))))</f>
        <v/>
      </c>
      <c r="O304" s="23">
        <f>ROUND(M304-N304,2)</f>
        <v/>
      </c>
      <c r="P304" s="23">
        <f>ROUND(R303*(1+F$7/12),2)</f>
        <v/>
      </c>
      <c r="Q304" s="23">
        <f>MIN(F$8,P304)+MAX(0,MIN(P304-MIN(F$8,P304),$C304-((H304-MIN(C$8,G304))+(K304-MIN(D$8,J304))+(N304-MIN(E$8,M304)))))</f>
        <v/>
      </c>
      <c r="R304" s="23">
        <f>ROUND(P304-Q304,2)</f>
        <v/>
      </c>
      <c r="S304" s="23">
        <f>ROUND(U303*(1+G$7/12),2)</f>
        <v/>
      </c>
      <c r="T304" s="23">
        <f>MIN(G$8,S304)+MAX(0,MIN(S304-MIN(G$8,S304),$C304-((H304-MIN(C$8,G304))+(K304-MIN(D$8,J304))+(N304-MIN(E$8,M304))+(Q304-MIN(F$8,P304)))))</f>
        <v/>
      </c>
      <c r="U304" s="23">
        <f>ROUND(S304-T304,2)</f>
        <v/>
      </c>
    </row>
    <row r="305">
      <c r="A305" t="n">
        <v>294</v>
      </c>
      <c r="B305" s="22">
        <f>EDATE(Debts!$B$5,293)</f>
        <v/>
      </c>
      <c r="C305" s="23">
        <f>MAX(0,Debts!$B$6-(MIN(C$8,G305)+MIN(D$8,J305)+MIN(E$8,M305)+MIN(F$8,P305)+MIN(G$8,S305)))</f>
        <v/>
      </c>
      <c r="D305" s="23">
        <f>H305+K305+N305+Q305+T305</f>
        <v/>
      </c>
      <c r="E305" s="23">
        <f>I305+L305+O305+R305+U305</f>
        <v/>
      </c>
      <c r="F305" s="23" t="n"/>
      <c r="G305" s="23">
        <f>ROUND(I304*(1+C$7/12),2)</f>
        <v/>
      </c>
      <c r="H305" s="23">
        <f>MIN(C$8,G305)+MAX(0,MIN(G305-MIN(C$8,G305),$C305-(0)))</f>
        <v/>
      </c>
      <c r="I305" s="23">
        <f>ROUND(G305-H305,2)</f>
        <v/>
      </c>
      <c r="J305" s="23">
        <f>ROUND(L304*(1+D$7/12),2)</f>
        <v/>
      </c>
      <c r="K305" s="23">
        <f>MIN(D$8,J305)+MAX(0,MIN(J305-MIN(D$8,J305),$C305-((H305-MIN(C$8,G305)))))</f>
        <v/>
      </c>
      <c r="L305" s="23">
        <f>ROUND(J305-K305,2)</f>
        <v/>
      </c>
      <c r="M305" s="23">
        <f>ROUND(O304*(1+E$7/12),2)</f>
        <v/>
      </c>
      <c r="N305" s="23">
        <f>MIN(E$8,M305)+MAX(0,MIN(M305-MIN(E$8,M305),$C305-((H305-MIN(C$8,G305))+(K305-MIN(D$8,J305)))))</f>
        <v/>
      </c>
      <c r="O305" s="23">
        <f>ROUND(M305-N305,2)</f>
        <v/>
      </c>
      <c r="P305" s="23">
        <f>ROUND(R304*(1+F$7/12),2)</f>
        <v/>
      </c>
      <c r="Q305" s="23">
        <f>MIN(F$8,P305)+MAX(0,MIN(P305-MIN(F$8,P305),$C305-((H305-MIN(C$8,G305))+(K305-MIN(D$8,J305))+(N305-MIN(E$8,M305)))))</f>
        <v/>
      </c>
      <c r="R305" s="23">
        <f>ROUND(P305-Q305,2)</f>
        <v/>
      </c>
      <c r="S305" s="23">
        <f>ROUND(U304*(1+G$7/12),2)</f>
        <v/>
      </c>
      <c r="T305" s="23">
        <f>MIN(G$8,S305)+MAX(0,MIN(S305-MIN(G$8,S305),$C305-((H305-MIN(C$8,G305))+(K305-MIN(D$8,J305))+(N305-MIN(E$8,M305))+(Q305-MIN(F$8,P305)))))</f>
        <v/>
      </c>
      <c r="U305" s="23">
        <f>ROUND(S305-T305,2)</f>
        <v/>
      </c>
    </row>
    <row r="306">
      <c r="A306" t="n">
        <v>295</v>
      </c>
      <c r="B306" s="22">
        <f>EDATE(Debts!$B$5,294)</f>
        <v/>
      </c>
      <c r="C306" s="23">
        <f>MAX(0,Debts!$B$6-(MIN(C$8,G306)+MIN(D$8,J306)+MIN(E$8,M306)+MIN(F$8,P306)+MIN(G$8,S306)))</f>
        <v/>
      </c>
      <c r="D306" s="23">
        <f>H306+K306+N306+Q306+T306</f>
        <v/>
      </c>
      <c r="E306" s="23">
        <f>I306+L306+O306+R306+U306</f>
        <v/>
      </c>
      <c r="F306" s="23" t="n"/>
      <c r="G306" s="23">
        <f>ROUND(I305*(1+C$7/12),2)</f>
        <v/>
      </c>
      <c r="H306" s="23">
        <f>MIN(C$8,G306)+MAX(0,MIN(G306-MIN(C$8,G306),$C306-(0)))</f>
        <v/>
      </c>
      <c r="I306" s="23">
        <f>ROUND(G306-H306,2)</f>
        <v/>
      </c>
      <c r="J306" s="23">
        <f>ROUND(L305*(1+D$7/12),2)</f>
        <v/>
      </c>
      <c r="K306" s="23">
        <f>MIN(D$8,J306)+MAX(0,MIN(J306-MIN(D$8,J306),$C306-((H306-MIN(C$8,G306)))))</f>
        <v/>
      </c>
      <c r="L306" s="23">
        <f>ROUND(J306-K306,2)</f>
        <v/>
      </c>
      <c r="M306" s="23">
        <f>ROUND(O305*(1+E$7/12),2)</f>
        <v/>
      </c>
      <c r="N306" s="23">
        <f>MIN(E$8,M306)+MAX(0,MIN(M306-MIN(E$8,M306),$C306-((H306-MIN(C$8,G306))+(K306-MIN(D$8,J306)))))</f>
        <v/>
      </c>
      <c r="O306" s="23">
        <f>ROUND(M306-N306,2)</f>
        <v/>
      </c>
      <c r="P306" s="23">
        <f>ROUND(R305*(1+F$7/12),2)</f>
        <v/>
      </c>
      <c r="Q306" s="23">
        <f>MIN(F$8,P306)+MAX(0,MIN(P306-MIN(F$8,P306),$C306-((H306-MIN(C$8,G306))+(K306-MIN(D$8,J306))+(N306-MIN(E$8,M306)))))</f>
        <v/>
      </c>
      <c r="R306" s="23">
        <f>ROUND(P306-Q306,2)</f>
        <v/>
      </c>
      <c r="S306" s="23">
        <f>ROUND(U305*(1+G$7/12),2)</f>
        <v/>
      </c>
      <c r="T306" s="23">
        <f>MIN(G$8,S306)+MAX(0,MIN(S306-MIN(G$8,S306),$C306-((H306-MIN(C$8,G306))+(K306-MIN(D$8,J306))+(N306-MIN(E$8,M306))+(Q306-MIN(F$8,P306)))))</f>
        <v/>
      </c>
      <c r="U306" s="23">
        <f>ROUND(S306-T306,2)</f>
        <v/>
      </c>
    </row>
    <row r="307">
      <c r="A307" t="n">
        <v>296</v>
      </c>
      <c r="B307" s="22">
        <f>EDATE(Debts!$B$5,295)</f>
        <v/>
      </c>
      <c r="C307" s="23">
        <f>MAX(0,Debts!$B$6-(MIN(C$8,G307)+MIN(D$8,J307)+MIN(E$8,M307)+MIN(F$8,P307)+MIN(G$8,S307)))</f>
        <v/>
      </c>
      <c r="D307" s="23">
        <f>H307+K307+N307+Q307+T307</f>
        <v/>
      </c>
      <c r="E307" s="23">
        <f>I307+L307+O307+R307+U307</f>
        <v/>
      </c>
      <c r="F307" s="23" t="n"/>
      <c r="G307" s="23">
        <f>ROUND(I306*(1+C$7/12),2)</f>
        <v/>
      </c>
      <c r="H307" s="23">
        <f>MIN(C$8,G307)+MAX(0,MIN(G307-MIN(C$8,G307),$C307-(0)))</f>
        <v/>
      </c>
      <c r="I307" s="23">
        <f>ROUND(G307-H307,2)</f>
        <v/>
      </c>
      <c r="J307" s="23">
        <f>ROUND(L306*(1+D$7/12),2)</f>
        <v/>
      </c>
      <c r="K307" s="23">
        <f>MIN(D$8,J307)+MAX(0,MIN(J307-MIN(D$8,J307),$C307-((H307-MIN(C$8,G307)))))</f>
        <v/>
      </c>
      <c r="L307" s="23">
        <f>ROUND(J307-K307,2)</f>
        <v/>
      </c>
      <c r="M307" s="23">
        <f>ROUND(O306*(1+E$7/12),2)</f>
        <v/>
      </c>
      <c r="N307" s="23">
        <f>MIN(E$8,M307)+MAX(0,MIN(M307-MIN(E$8,M307),$C307-((H307-MIN(C$8,G307))+(K307-MIN(D$8,J307)))))</f>
        <v/>
      </c>
      <c r="O307" s="23">
        <f>ROUND(M307-N307,2)</f>
        <v/>
      </c>
      <c r="P307" s="23">
        <f>ROUND(R306*(1+F$7/12),2)</f>
        <v/>
      </c>
      <c r="Q307" s="23">
        <f>MIN(F$8,P307)+MAX(0,MIN(P307-MIN(F$8,P307),$C307-((H307-MIN(C$8,G307))+(K307-MIN(D$8,J307))+(N307-MIN(E$8,M307)))))</f>
        <v/>
      </c>
      <c r="R307" s="23">
        <f>ROUND(P307-Q307,2)</f>
        <v/>
      </c>
      <c r="S307" s="23">
        <f>ROUND(U306*(1+G$7/12),2)</f>
        <v/>
      </c>
      <c r="T307" s="23">
        <f>MIN(G$8,S307)+MAX(0,MIN(S307-MIN(G$8,S307),$C307-((H307-MIN(C$8,G307))+(K307-MIN(D$8,J307))+(N307-MIN(E$8,M307))+(Q307-MIN(F$8,P307)))))</f>
        <v/>
      </c>
      <c r="U307" s="23">
        <f>ROUND(S307-T307,2)</f>
        <v/>
      </c>
    </row>
    <row r="308">
      <c r="A308" t="n">
        <v>297</v>
      </c>
      <c r="B308" s="22">
        <f>EDATE(Debts!$B$5,296)</f>
        <v/>
      </c>
      <c r="C308" s="23">
        <f>MAX(0,Debts!$B$6-(MIN(C$8,G308)+MIN(D$8,J308)+MIN(E$8,M308)+MIN(F$8,P308)+MIN(G$8,S308)))</f>
        <v/>
      </c>
      <c r="D308" s="23">
        <f>H308+K308+N308+Q308+T308</f>
        <v/>
      </c>
      <c r="E308" s="23">
        <f>I308+L308+O308+R308+U308</f>
        <v/>
      </c>
      <c r="F308" s="23" t="n"/>
      <c r="G308" s="23">
        <f>ROUND(I307*(1+C$7/12),2)</f>
        <v/>
      </c>
      <c r="H308" s="23">
        <f>MIN(C$8,G308)+MAX(0,MIN(G308-MIN(C$8,G308),$C308-(0)))</f>
        <v/>
      </c>
      <c r="I308" s="23">
        <f>ROUND(G308-H308,2)</f>
        <v/>
      </c>
      <c r="J308" s="23">
        <f>ROUND(L307*(1+D$7/12),2)</f>
        <v/>
      </c>
      <c r="K308" s="23">
        <f>MIN(D$8,J308)+MAX(0,MIN(J308-MIN(D$8,J308),$C308-((H308-MIN(C$8,G308)))))</f>
        <v/>
      </c>
      <c r="L308" s="23">
        <f>ROUND(J308-K308,2)</f>
        <v/>
      </c>
      <c r="M308" s="23">
        <f>ROUND(O307*(1+E$7/12),2)</f>
        <v/>
      </c>
      <c r="N308" s="23">
        <f>MIN(E$8,M308)+MAX(0,MIN(M308-MIN(E$8,M308),$C308-((H308-MIN(C$8,G308))+(K308-MIN(D$8,J308)))))</f>
        <v/>
      </c>
      <c r="O308" s="23">
        <f>ROUND(M308-N308,2)</f>
        <v/>
      </c>
      <c r="P308" s="23">
        <f>ROUND(R307*(1+F$7/12),2)</f>
        <v/>
      </c>
      <c r="Q308" s="23">
        <f>MIN(F$8,P308)+MAX(0,MIN(P308-MIN(F$8,P308),$C308-((H308-MIN(C$8,G308))+(K308-MIN(D$8,J308))+(N308-MIN(E$8,M308)))))</f>
        <v/>
      </c>
      <c r="R308" s="23">
        <f>ROUND(P308-Q308,2)</f>
        <v/>
      </c>
      <c r="S308" s="23">
        <f>ROUND(U307*(1+G$7/12),2)</f>
        <v/>
      </c>
      <c r="T308" s="23">
        <f>MIN(G$8,S308)+MAX(0,MIN(S308-MIN(G$8,S308),$C308-((H308-MIN(C$8,G308))+(K308-MIN(D$8,J308))+(N308-MIN(E$8,M308))+(Q308-MIN(F$8,P308)))))</f>
        <v/>
      </c>
      <c r="U308" s="23">
        <f>ROUND(S308-T308,2)</f>
        <v/>
      </c>
    </row>
    <row r="309">
      <c r="A309" t="n">
        <v>298</v>
      </c>
      <c r="B309" s="22">
        <f>EDATE(Debts!$B$5,297)</f>
        <v/>
      </c>
      <c r="C309" s="23">
        <f>MAX(0,Debts!$B$6-(MIN(C$8,G309)+MIN(D$8,J309)+MIN(E$8,M309)+MIN(F$8,P309)+MIN(G$8,S309)))</f>
        <v/>
      </c>
      <c r="D309" s="23">
        <f>H309+K309+N309+Q309+T309</f>
        <v/>
      </c>
      <c r="E309" s="23">
        <f>I309+L309+O309+R309+U309</f>
        <v/>
      </c>
      <c r="F309" s="23" t="n"/>
      <c r="G309" s="23">
        <f>ROUND(I308*(1+C$7/12),2)</f>
        <v/>
      </c>
      <c r="H309" s="23">
        <f>MIN(C$8,G309)+MAX(0,MIN(G309-MIN(C$8,G309),$C309-(0)))</f>
        <v/>
      </c>
      <c r="I309" s="23">
        <f>ROUND(G309-H309,2)</f>
        <v/>
      </c>
      <c r="J309" s="23">
        <f>ROUND(L308*(1+D$7/12),2)</f>
        <v/>
      </c>
      <c r="K309" s="23">
        <f>MIN(D$8,J309)+MAX(0,MIN(J309-MIN(D$8,J309),$C309-((H309-MIN(C$8,G309)))))</f>
        <v/>
      </c>
      <c r="L309" s="23">
        <f>ROUND(J309-K309,2)</f>
        <v/>
      </c>
      <c r="M309" s="23">
        <f>ROUND(O308*(1+E$7/12),2)</f>
        <v/>
      </c>
      <c r="N309" s="23">
        <f>MIN(E$8,M309)+MAX(0,MIN(M309-MIN(E$8,M309),$C309-((H309-MIN(C$8,G309))+(K309-MIN(D$8,J309)))))</f>
        <v/>
      </c>
      <c r="O309" s="23">
        <f>ROUND(M309-N309,2)</f>
        <v/>
      </c>
      <c r="P309" s="23">
        <f>ROUND(R308*(1+F$7/12),2)</f>
        <v/>
      </c>
      <c r="Q309" s="23">
        <f>MIN(F$8,P309)+MAX(0,MIN(P309-MIN(F$8,P309),$C309-((H309-MIN(C$8,G309))+(K309-MIN(D$8,J309))+(N309-MIN(E$8,M309)))))</f>
        <v/>
      </c>
      <c r="R309" s="23">
        <f>ROUND(P309-Q309,2)</f>
        <v/>
      </c>
      <c r="S309" s="23">
        <f>ROUND(U308*(1+G$7/12),2)</f>
        <v/>
      </c>
      <c r="T309" s="23">
        <f>MIN(G$8,S309)+MAX(0,MIN(S309-MIN(G$8,S309),$C309-((H309-MIN(C$8,G309))+(K309-MIN(D$8,J309))+(N309-MIN(E$8,M309))+(Q309-MIN(F$8,P309)))))</f>
        <v/>
      </c>
      <c r="U309" s="23">
        <f>ROUND(S309-T309,2)</f>
        <v/>
      </c>
    </row>
    <row r="310">
      <c r="A310" t="n">
        <v>299</v>
      </c>
      <c r="B310" s="22">
        <f>EDATE(Debts!$B$5,298)</f>
        <v/>
      </c>
      <c r="C310" s="23">
        <f>MAX(0,Debts!$B$6-(MIN(C$8,G310)+MIN(D$8,J310)+MIN(E$8,M310)+MIN(F$8,P310)+MIN(G$8,S310)))</f>
        <v/>
      </c>
      <c r="D310" s="23">
        <f>H310+K310+N310+Q310+T310</f>
        <v/>
      </c>
      <c r="E310" s="23">
        <f>I310+L310+O310+R310+U310</f>
        <v/>
      </c>
      <c r="F310" s="23" t="n"/>
      <c r="G310" s="23">
        <f>ROUND(I309*(1+C$7/12),2)</f>
        <v/>
      </c>
      <c r="H310" s="23">
        <f>MIN(C$8,G310)+MAX(0,MIN(G310-MIN(C$8,G310),$C310-(0)))</f>
        <v/>
      </c>
      <c r="I310" s="23">
        <f>ROUND(G310-H310,2)</f>
        <v/>
      </c>
      <c r="J310" s="23">
        <f>ROUND(L309*(1+D$7/12),2)</f>
        <v/>
      </c>
      <c r="K310" s="23">
        <f>MIN(D$8,J310)+MAX(0,MIN(J310-MIN(D$8,J310),$C310-((H310-MIN(C$8,G310)))))</f>
        <v/>
      </c>
      <c r="L310" s="23">
        <f>ROUND(J310-K310,2)</f>
        <v/>
      </c>
      <c r="M310" s="23">
        <f>ROUND(O309*(1+E$7/12),2)</f>
        <v/>
      </c>
      <c r="N310" s="23">
        <f>MIN(E$8,M310)+MAX(0,MIN(M310-MIN(E$8,M310),$C310-((H310-MIN(C$8,G310))+(K310-MIN(D$8,J310)))))</f>
        <v/>
      </c>
      <c r="O310" s="23">
        <f>ROUND(M310-N310,2)</f>
        <v/>
      </c>
      <c r="P310" s="23">
        <f>ROUND(R309*(1+F$7/12),2)</f>
        <v/>
      </c>
      <c r="Q310" s="23">
        <f>MIN(F$8,P310)+MAX(0,MIN(P310-MIN(F$8,P310),$C310-((H310-MIN(C$8,G310))+(K310-MIN(D$8,J310))+(N310-MIN(E$8,M310)))))</f>
        <v/>
      </c>
      <c r="R310" s="23">
        <f>ROUND(P310-Q310,2)</f>
        <v/>
      </c>
      <c r="S310" s="23">
        <f>ROUND(U309*(1+G$7/12),2)</f>
        <v/>
      </c>
      <c r="T310" s="23">
        <f>MIN(G$8,S310)+MAX(0,MIN(S310-MIN(G$8,S310),$C310-((H310-MIN(C$8,G310))+(K310-MIN(D$8,J310))+(N310-MIN(E$8,M310))+(Q310-MIN(F$8,P310)))))</f>
        <v/>
      </c>
      <c r="U310" s="23">
        <f>ROUND(S310-T310,2)</f>
        <v/>
      </c>
    </row>
    <row r="311">
      <c r="A311" t="n">
        <v>300</v>
      </c>
      <c r="B311" s="22">
        <f>EDATE(Debts!$B$5,299)</f>
        <v/>
      </c>
      <c r="C311" s="23">
        <f>MAX(0,Debts!$B$6-(MIN(C$8,G311)+MIN(D$8,J311)+MIN(E$8,M311)+MIN(F$8,P311)+MIN(G$8,S311)))</f>
        <v/>
      </c>
      <c r="D311" s="23">
        <f>H311+K311+N311+Q311+T311</f>
        <v/>
      </c>
      <c r="E311" s="23">
        <f>I311+L311+O311+R311+U311</f>
        <v/>
      </c>
      <c r="F311" s="23" t="n"/>
      <c r="G311" s="23">
        <f>ROUND(I310*(1+C$7/12),2)</f>
        <v/>
      </c>
      <c r="H311" s="23">
        <f>MIN(C$8,G311)+MAX(0,MIN(G311-MIN(C$8,G311),$C311-(0)))</f>
        <v/>
      </c>
      <c r="I311" s="23">
        <f>ROUND(G311-H311,2)</f>
        <v/>
      </c>
      <c r="J311" s="23">
        <f>ROUND(L310*(1+D$7/12),2)</f>
        <v/>
      </c>
      <c r="K311" s="23">
        <f>MIN(D$8,J311)+MAX(0,MIN(J311-MIN(D$8,J311),$C311-((H311-MIN(C$8,G311)))))</f>
        <v/>
      </c>
      <c r="L311" s="23">
        <f>ROUND(J311-K311,2)</f>
        <v/>
      </c>
      <c r="M311" s="23">
        <f>ROUND(O310*(1+E$7/12),2)</f>
        <v/>
      </c>
      <c r="N311" s="23">
        <f>MIN(E$8,M311)+MAX(0,MIN(M311-MIN(E$8,M311),$C311-((H311-MIN(C$8,G311))+(K311-MIN(D$8,J311)))))</f>
        <v/>
      </c>
      <c r="O311" s="23">
        <f>ROUND(M311-N311,2)</f>
        <v/>
      </c>
      <c r="P311" s="23">
        <f>ROUND(R310*(1+F$7/12),2)</f>
        <v/>
      </c>
      <c r="Q311" s="23">
        <f>MIN(F$8,P311)+MAX(0,MIN(P311-MIN(F$8,P311),$C311-((H311-MIN(C$8,G311))+(K311-MIN(D$8,J311))+(N311-MIN(E$8,M311)))))</f>
        <v/>
      </c>
      <c r="R311" s="23">
        <f>ROUND(P311-Q311,2)</f>
        <v/>
      </c>
      <c r="S311" s="23">
        <f>ROUND(U310*(1+G$7/12),2)</f>
        <v/>
      </c>
      <c r="T311" s="23">
        <f>MIN(G$8,S311)+MAX(0,MIN(S311-MIN(G$8,S311),$C311-((H311-MIN(C$8,G311))+(K311-MIN(D$8,J311))+(N311-MIN(E$8,M311))+(Q311-MIN(F$8,P311)))))</f>
        <v/>
      </c>
      <c r="U311" s="23">
        <f>ROUND(S311-T311,2)</f>
        <v/>
      </c>
    </row>
    <row r="312">
      <c r="A312" t="n">
        <v>301</v>
      </c>
      <c r="B312" s="22">
        <f>EDATE(Debts!$B$5,300)</f>
        <v/>
      </c>
      <c r="C312" s="23">
        <f>MAX(0,Debts!$B$6-(MIN(C$8,G312)+MIN(D$8,J312)+MIN(E$8,M312)+MIN(F$8,P312)+MIN(G$8,S312)))</f>
        <v/>
      </c>
      <c r="D312" s="23">
        <f>H312+K312+N312+Q312+T312</f>
        <v/>
      </c>
      <c r="E312" s="23">
        <f>I312+L312+O312+R312+U312</f>
        <v/>
      </c>
      <c r="F312" s="23" t="n"/>
      <c r="G312" s="23">
        <f>ROUND(I311*(1+C$7/12),2)</f>
        <v/>
      </c>
      <c r="H312" s="23">
        <f>MIN(C$8,G312)+MAX(0,MIN(G312-MIN(C$8,G312),$C312-(0)))</f>
        <v/>
      </c>
      <c r="I312" s="23">
        <f>ROUND(G312-H312,2)</f>
        <v/>
      </c>
      <c r="J312" s="23">
        <f>ROUND(L311*(1+D$7/12),2)</f>
        <v/>
      </c>
      <c r="K312" s="23">
        <f>MIN(D$8,J312)+MAX(0,MIN(J312-MIN(D$8,J312),$C312-((H312-MIN(C$8,G312)))))</f>
        <v/>
      </c>
      <c r="L312" s="23">
        <f>ROUND(J312-K312,2)</f>
        <v/>
      </c>
      <c r="M312" s="23">
        <f>ROUND(O311*(1+E$7/12),2)</f>
        <v/>
      </c>
      <c r="N312" s="23">
        <f>MIN(E$8,M312)+MAX(0,MIN(M312-MIN(E$8,M312),$C312-((H312-MIN(C$8,G312))+(K312-MIN(D$8,J312)))))</f>
        <v/>
      </c>
      <c r="O312" s="23">
        <f>ROUND(M312-N312,2)</f>
        <v/>
      </c>
      <c r="P312" s="23">
        <f>ROUND(R311*(1+F$7/12),2)</f>
        <v/>
      </c>
      <c r="Q312" s="23">
        <f>MIN(F$8,P312)+MAX(0,MIN(P312-MIN(F$8,P312),$C312-((H312-MIN(C$8,G312))+(K312-MIN(D$8,J312))+(N312-MIN(E$8,M312)))))</f>
        <v/>
      </c>
      <c r="R312" s="23">
        <f>ROUND(P312-Q312,2)</f>
        <v/>
      </c>
      <c r="S312" s="23">
        <f>ROUND(U311*(1+G$7/12),2)</f>
        <v/>
      </c>
      <c r="T312" s="23">
        <f>MIN(G$8,S312)+MAX(0,MIN(S312-MIN(G$8,S312),$C312-((H312-MIN(C$8,G312))+(K312-MIN(D$8,J312))+(N312-MIN(E$8,M312))+(Q312-MIN(F$8,P312)))))</f>
        <v/>
      </c>
      <c r="U312" s="23">
        <f>ROUND(S312-T312,2)</f>
        <v/>
      </c>
    </row>
    <row r="313">
      <c r="A313" t="n">
        <v>302</v>
      </c>
      <c r="B313" s="22">
        <f>EDATE(Debts!$B$5,301)</f>
        <v/>
      </c>
      <c r="C313" s="23">
        <f>MAX(0,Debts!$B$6-(MIN(C$8,G313)+MIN(D$8,J313)+MIN(E$8,M313)+MIN(F$8,P313)+MIN(G$8,S313)))</f>
        <v/>
      </c>
      <c r="D313" s="23">
        <f>H313+K313+N313+Q313+T313</f>
        <v/>
      </c>
      <c r="E313" s="23">
        <f>I313+L313+O313+R313+U313</f>
        <v/>
      </c>
      <c r="F313" s="23" t="n"/>
      <c r="G313" s="23">
        <f>ROUND(I312*(1+C$7/12),2)</f>
        <v/>
      </c>
      <c r="H313" s="23">
        <f>MIN(C$8,G313)+MAX(0,MIN(G313-MIN(C$8,G313),$C313-(0)))</f>
        <v/>
      </c>
      <c r="I313" s="23">
        <f>ROUND(G313-H313,2)</f>
        <v/>
      </c>
      <c r="J313" s="23">
        <f>ROUND(L312*(1+D$7/12),2)</f>
        <v/>
      </c>
      <c r="K313" s="23">
        <f>MIN(D$8,J313)+MAX(0,MIN(J313-MIN(D$8,J313),$C313-((H313-MIN(C$8,G313)))))</f>
        <v/>
      </c>
      <c r="L313" s="23">
        <f>ROUND(J313-K313,2)</f>
        <v/>
      </c>
      <c r="M313" s="23">
        <f>ROUND(O312*(1+E$7/12),2)</f>
        <v/>
      </c>
      <c r="N313" s="23">
        <f>MIN(E$8,M313)+MAX(0,MIN(M313-MIN(E$8,M313),$C313-((H313-MIN(C$8,G313))+(K313-MIN(D$8,J313)))))</f>
        <v/>
      </c>
      <c r="O313" s="23">
        <f>ROUND(M313-N313,2)</f>
        <v/>
      </c>
      <c r="P313" s="23">
        <f>ROUND(R312*(1+F$7/12),2)</f>
        <v/>
      </c>
      <c r="Q313" s="23">
        <f>MIN(F$8,P313)+MAX(0,MIN(P313-MIN(F$8,P313),$C313-((H313-MIN(C$8,G313))+(K313-MIN(D$8,J313))+(N313-MIN(E$8,M313)))))</f>
        <v/>
      </c>
      <c r="R313" s="23">
        <f>ROUND(P313-Q313,2)</f>
        <v/>
      </c>
      <c r="S313" s="23">
        <f>ROUND(U312*(1+G$7/12),2)</f>
        <v/>
      </c>
      <c r="T313" s="23">
        <f>MIN(G$8,S313)+MAX(0,MIN(S313-MIN(G$8,S313),$C313-((H313-MIN(C$8,G313))+(K313-MIN(D$8,J313))+(N313-MIN(E$8,M313))+(Q313-MIN(F$8,P313)))))</f>
        <v/>
      </c>
      <c r="U313" s="23">
        <f>ROUND(S313-T313,2)</f>
        <v/>
      </c>
    </row>
    <row r="314">
      <c r="A314" t="n">
        <v>303</v>
      </c>
      <c r="B314" s="22">
        <f>EDATE(Debts!$B$5,302)</f>
        <v/>
      </c>
      <c r="C314" s="23">
        <f>MAX(0,Debts!$B$6-(MIN(C$8,G314)+MIN(D$8,J314)+MIN(E$8,M314)+MIN(F$8,P314)+MIN(G$8,S314)))</f>
        <v/>
      </c>
      <c r="D314" s="23">
        <f>H314+K314+N314+Q314+T314</f>
        <v/>
      </c>
      <c r="E314" s="23">
        <f>I314+L314+O314+R314+U314</f>
        <v/>
      </c>
      <c r="F314" s="23" t="n"/>
      <c r="G314" s="23">
        <f>ROUND(I313*(1+C$7/12),2)</f>
        <v/>
      </c>
      <c r="H314" s="23">
        <f>MIN(C$8,G314)+MAX(0,MIN(G314-MIN(C$8,G314),$C314-(0)))</f>
        <v/>
      </c>
      <c r="I314" s="23">
        <f>ROUND(G314-H314,2)</f>
        <v/>
      </c>
      <c r="J314" s="23">
        <f>ROUND(L313*(1+D$7/12),2)</f>
        <v/>
      </c>
      <c r="K314" s="23">
        <f>MIN(D$8,J314)+MAX(0,MIN(J314-MIN(D$8,J314),$C314-((H314-MIN(C$8,G314)))))</f>
        <v/>
      </c>
      <c r="L314" s="23">
        <f>ROUND(J314-K314,2)</f>
        <v/>
      </c>
      <c r="M314" s="23">
        <f>ROUND(O313*(1+E$7/12),2)</f>
        <v/>
      </c>
      <c r="N314" s="23">
        <f>MIN(E$8,M314)+MAX(0,MIN(M314-MIN(E$8,M314),$C314-((H314-MIN(C$8,G314))+(K314-MIN(D$8,J314)))))</f>
        <v/>
      </c>
      <c r="O314" s="23">
        <f>ROUND(M314-N314,2)</f>
        <v/>
      </c>
      <c r="P314" s="23">
        <f>ROUND(R313*(1+F$7/12),2)</f>
        <v/>
      </c>
      <c r="Q314" s="23">
        <f>MIN(F$8,P314)+MAX(0,MIN(P314-MIN(F$8,P314),$C314-((H314-MIN(C$8,G314))+(K314-MIN(D$8,J314))+(N314-MIN(E$8,M314)))))</f>
        <v/>
      </c>
      <c r="R314" s="23">
        <f>ROUND(P314-Q314,2)</f>
        <v/>
      </c>
      <c r="S314" s="23">
        <f>ROUND(U313*(1+G$7/12),2)</f>
        <v/>
      </c>
      <c r="T314" s="23">
        <f>MIN(G$8,S314)+MAX(0,MIN(S314-MIN(G$8,S314),$C314-((H314-MIN(C$8,G314))+(K314-MIN(D$8,J314))+(N314-MIN(E$8,M314))+(Q314-MIN(F$8,P314)))))</f>
        <v/>
      </c>
      <c r="U314" s="23">
        <f>ROUND(S314-T314,2)</f>
        <v/>
      </c>
    </row>
    <row r="315">
      <c r="A315" t="n">
        <v>304</v>
      </c>
      <c r="B315" s="22">
        <f>EDATE(Debts!$B$5,303)</f>
        <v/>
      </c>
      <c r="C315" s="23">
        <f>MAX(0,Debts!$B$6-(MIN(C$8,G315)+MIN(D$8,J315)+MIN(E$8,M315)+MIN(F$8,P315)+MIN(G$8,S315)))</f>
        <v/>
      </c>
      <c r="D315" s="23">
        <f>H315+K315+N315+Q315+T315</f>
        <v/>
      </c>
      <c r="E315" s="23">
        <f>I315+L315+O315+R315+U315</f>
        <v/>
      </c>
      <c r="F315" s="23" t="n"/>
      <c r="G315" s="23">
        <f>ROUND(I314*(1+C$7/12),2)</f>
        <v/>
      </c>
      <c r="H315" s="23">
        <f>MIN(C$8,G315)+MAX(0,MIN(G315-MIN(C$8,G315),$C315-(0)))</f>
        <v/>
      </c>
      <c r="I315" s="23">
        <f>ROUND(G315-H315,2)</f>
        <v/>
      </c>
      <c r="J315" s="23">
        <f>ROUND(L314*(1+D$7/12),2)</f>
        <v/>
      </c>
      <c r="K315" s="23">
        <f>MIN(D$8,J315)+MAX(0,MIN(J315-MIN(D$8,J315),$C315-((H315-MIN(C$8,G315)))))</f>
        <v/>
      </c>
      <c r="L315" s="23">
        <f>ROUND(J315-K315,2)</f>
        <v/>
      </c>
      <c r="M315" s="23">
        <f>ROUND(O314*(1+E$7/12),2)</f>
        <v/>
      </c>
      <c r="N315" s="23">
        <f>MIN(E$8,M315)+MAX(0,MIN(M315-MIN(E$8,M315),$C315-((H315-MIN(C$8,G315))+(K315-MIN(D$8,J315)))))</f>
        <v/>
      </c>
      <c r="O315" s="23">
        <f>ROUND(M315-N315,2)</f>
        <v/>
      </c>
      <c r="P315" s="23">
        <f>ROUND(R314*(1+F$7/12),2)</f>
        <v/>
      </c>
      <c r="Q315" s="23">
        <f>MIN(F$8,P315)+MAX(0,MIN(P315-MIN(F$8,P315),$C315-((H315-MIN(C$8,G315))+(K315-MIN(D$8,J315))+(N315-MIN(E$8,M315)))))</f>
        <v/>
      </c>
      <c r="R315" s="23">
        <f>ROUND(P315-Q315,2)</f>
        <v/>
      </c>
      <c r="S315" s="23">
        <f>ROUND(U314*(1+G$7/12),2)</f>
        <v/>
      </c>
      <c r="T315" s="23">
        <f>MIN(G$8,S315)+MAX(0,MIN(S315-MIN(G$8,S315),$C315-((H315-MIN(C$8,G315))+(K315-MIN(D$8,J315))+(N315-MIN(E$8,M315))+(Q315-MIN(F$8,P315)))))</f>
        <v/>
      </c>
      <c r="U315" s="23">
        <f>ROUND(S315-T315,2)</f>
        <v/>
      </c>
    </row>
    <row r="316">
      <c r="A316" t="n">
        <v>305</v>
      </c>
      <c r="B316" s="22">
        <f>EDATE(Debts!$B$5,304)</f>
        <v/>
      </c>
      <c r="C316" s="23">
        <f>MAX(0,Debts!$B$6-(MIN(C$8,G316)+MIN(D$8,J316)+MIN(E$8,M316)+MIN(F$8,P316)+MIN(G$8,S316)))</f>
        <v/>
      </c>
      <c r="D316" s="23">
        <f>H316+K316+N316+Q316+T316</f>
        <v/>
      </c>
      <c r="E316" s="23">
        <f>I316+L316+O316+R316+U316</f>
        <v/>
      </c>
      <c r="F316" s="23" t="n"/>
      <c r="G316" s="23">
        <f>ROUND(I315*(1+C$7/12),2)</f>
        <v/>
      </c>
      <c r="H316" s="23">
        <f>MIN(C$8,G316)+MAX(0,MIN(G316-MIN(C$8,G316),$C316-(0)))</f>
        <v/>
      </c>
      <c r="I316" s="23">
        <f>ROUND(G316-H316,2)</f>
        <v/>
      </c>
      <c r="J316" s="23">
        <f>ROUND(L315*(1+D$7/12),2)</f>
        <v/>
      </c>
      <c r="K316" s="23">
        <f>MIN(D$8,J316)+MAX(0,MIN(J316-MIN(D$8,J316),$C316-((H316-MIN(C$8,G316)))))</f>
        <v/>
      </c>
      <c r="L316" s="23">
        <f>ROUND(J316-K316,2)</f>
        <v/>
      </c>
      <c r="M316" s="23">
        <f>ROUND(O315*(1+E$7/12),2)</f>
        <v/>
      </c>
      <c r="N316" s="23">
        <f>MIN(E$8,M316)+MAX(0,MIN(M316-MIN(E$8,M316),$C316-((H316-MIN(C$8,G316))+(K316-MIN(D$8,J316)))))</f>
        <v/>
      </c>
      <c r="O316" s="23">
        <f>ROUND(M316-N316,2)</f>
        <v/>
      </c>
      <c r="P316" s="23">
        <f>ROUND(R315*(1+F$7/12),2)</f>
        <v/>
      </c>
      <c r="Q316" s="23">
        <f>MIN(F$8,P316)+MAX(0,MIN(P316-MIN(F$8,P316),$C316-((H316-MIN(C$8,G316))+(K316-MIN(D$8,J316))+(N316-MIN(E$8,M316)))))</f>
        <v/>
      </c>
      <c r="R316" s="23">
        <f>ROUND(P316-Q316,2)</f>
        <v/>
      </c>
      <c r="S316" s="23">
        <f>ROUND(U315*(1+G$7/12),2)</f>
        <v/>
      </c>
      <c r="T316" s="23">
        <f>MIN(G$8,S316)+MAX(0,MIN(S316-MIN(G$8,S316),$C316-((H316-MIN(C$8,G316))+(K316-MIN(D$8,J316))+(N316-MIN(E$8,M316))+(Q316-MIN(F$8,P316)))))</f>
        <v/>
      </c>
      <c r="U316" s="23">
        <f>ROUND(S316-T316,2)</f>
        <v/>
      </c>
    </row>
    <row r="317">
      <c r="A317" t="n">
        <v>306</v>
      </c>
      <c r="B317" s="22">
        <f>EDATE(Debts!$B$5,305)</f>
        <v/>
      </c>
      <c r="C317" s="23">
        <f>MAX(0,Debts!$B$6-(MIN(C$8,G317)+MIN(D$8,J317)+MIN(E$8,M317)+MIN(F$8,P317)+MIN(G$8,S317)))</f>
        <v/>
      </c>
      <c r="D317" s="23">
        <f>H317+K317+N317+Q317+T317</f>
        <v/>
      </c>
      <c r="E317" s="23">
        <f>I317+L317+O317+R317+U317</f>
        <v/>
      </c>
      <c r="F317" s="23" t="n"/>
      <c r="G317" s="23">
        <f>ROUND(I316*(1+C$7/12),2)</f>
        <v/>
      </c>
      <c r="H317" s="23">
        <f>MIN(C$8,G317)+MAX(0,MIN(G317-MIN(C$8,G317),$C317-(0)))</f>
        <v/>
      </c>
      <c r="I317" s="23">
        <f>ROUND(G317-H317,2)</f>
        <v/>
      </c>
      <c r="J317" s="23">
        <f>ROUND(L316*(1+D$7/12),2)</f>
        <v/>
      </c>
      <c r="K317" s="23">
        <f>MIN(D$8,J317)+MAX(0,MIN(J317-MIN(D$8,J317),$C317-((H317-MIN(C$8,G317)))))</f>
        <v/>
      </c>
      <c r="L317" s="23">
        <f>ROUND(J317-K317,2)</f>
        <v/>
      </c>
      <c r="M317" s="23">
        <f>ROUND(O316*(1+E$7/12),2)</f>
        <v/>
      </c>
      <c r="N317" s="23">
        <f>MIN(E$8,M317)+MAX(0,MIN(M317-MIN(E$8,M317),$C317-((H317-MIN(C$8,G317))+(K317-MIN(D$8,J317)))))</f>
        <v/>
      </c>
      <c r="O317" s="23">
        <f>ROUND(M317-N317,2)</f>
        <v/>
      </c>
      <c r="P317" s="23">
        <f>ROUND(R316*(1+F$7/12),2)</f>
        <v/>
      </c>
      <c r="Q317" s="23">
        <f>MIN(F$8,P317)+MAX(0,MIN(P317-MIN(F$8,P317),$C317-((H317-MIN(C$8,G317))+(K317-MIN(D$8,J317))+(N317-MIN(E$8,M317)))))</f>
        <v/>
      </c>
      <c r="R317" s="23">
        <f>ROUND(P317-Q317,2)</f>
        <v/>
      </c>
      <c r="S317" s="23">
        <f>ROUND(U316*(1+G$7/12),2)</f>
        <v/>
      </c>
      <c r="T317" s="23">
        <f>MIN(G$8,S317)+MAX(0,MIN(S317-MIN(G$8,S317),$C317-((H317-MIN(C$8,G317))+(K317-MIN(D$8,J317))+(N317-MIN(E$8,M317))+(Q317-MIN(F$8,P317)))))</f>
        <v/>
      </c>
      <c r="U317" s="23">
        <f>ROUND(S317-T317,2)</f>
        <v/>
      </c>
    </row>
    <row r="318">
      <c r="A318" t="n">
        <v>307</v>
      </c>
      <c r="B318" s="22">
        <f>EDATE(Debts!$B$5,306)</f>
        <v/>
      </c>
      <c r="C318" s="23">
        <f>MAX(0,Debts!$B$6-(MIN(C$8,G318)+MIN(D$8,J318)+MIN(E$8,M318)+MIN(F$8,P318)+MIN(G$8,S318)))</f>
        <v/>
      </c>
      <c r="D318" s="23">
        <f>H318+K318+N318+Q318+T318</f>
        <v/>
      </c>
      <c r="E318" s="23">
        <f>I318+L318+O318+R318+U318</f>
        <v/>
      </c>
      <c r="F318" s="23" t="n"/>
      <c r="G318" s="23">
        <f>ROUND(I317*(1+C$7/12),2)</f>
        <v/>
      </c>
      <c r="H318" s="23">
        <f>MIN(C$8,G318)+MAX(0,MIN(G318-MIN(C$8,G318),$C318-(0)))</f>
        <v/>
      </c>
      <c r="I318" s="23">
        <f>ROUND(G318-H318,2)</f>
        <v/>
      </c>
      <c r="J318" s="23">
        <f>ROUND(L317*(1+D$7/12),2)</f>
        <v/>
      </c>
      <c r="K318" s="23">
        <f>MIN(D$8,J318)+MAX(0,MIN(J318-MIN(D$8,J318),$C318-((H318-MIN(C$8,G318)))))</f>
        <v/>
      </c>
      <c r="L318" s="23">
        <f>ROUND(J318-K318,2)</f>
        <v/>
      </c>
      <c r="M318" s="23">
        <f>ROUND(O317*(1+E$7/12),2)</f>
        <v/>
      </c>
      <c r="N318" s="23">
        <f>MIN(E$8,M318)+MAX(0,MIN(M318-MIN(E$8,M318),$C318-((H318-MIN(C$8,G318))+(K318-MIN(D$8,J318)))))</f>
        <v/>
      </c>
      <c r="O318" s="23">
        <f>ROUND(M318-N318,2)</f>
        <v/>
      </c>
      <c r="P318" s="23">
        <f>ROUND(R317*(1+F$7/12),2)</f>
        <v/>
      </c>
      <c r="Q318" s="23">
        <f>MIN(F$8,P318)+MAX(0,MIN(P318-MIN(F$8,P318),$C318-((H318-MIN(C$8,G318))+(K318-MIN(D$8,J318))+(N318-MIN(E$8,M318)))))</f>
        <v/>
      </c>
      <c r="R318" s="23">
        <f>ROUND(P318-Q318,2)</f>
        <v/>
      </c>
      <c r="S318" s="23">
        <f>ROUND(U317*(1+G$7/12),2)</f>
        <v/>
      </c>
      <c r="T318" s="23">
        <f>MIN(G$8,S318)+MAX(0,MIN(S318-MIN(G$8,S318),$C318-((H318-MIN(C$8,G318))+(K318-MIN(D$8,J318))+(N318-MIN(E$8,M318))+(Q318-MIN(F$8,P318)))))</f>
        <v/>
      </c>
      <c r="U318" s="23">
        <f>ROUND(S318-T318,2)</f>
        <v/>
      </c>
    </row>
    <row r="319">
      <c r="A319" t="n">
        <v>308</v>
      </c>
      <c r="B319" s="22">
        <f>EDATE(Debts!$B$5,307)</f>
        <v/>
      </c>
      <c r="C319" s="23">
        <f>MAX(0,Debts!$B$6-(MIN(C$8,G319)+MIN(D$8,J319)+MIN(E$8,M319)+MIN(F$8,P319)+MIN(G$8,S319)))</f>
        <v/>
      </c>
      <c r="D319" s="23">
        <f>H319+K319+N319+Q319+T319</f>
        <v/>
      </c>
      <c r="E319" s="23">
        <f>I319+L319+O319+R319+U319</f>
        <v/>
      </c>
      <c r="F319" s="23" t="n"/>
      <c r="G319" s="23">
        <f>ROUND(I318*(1+C$7/12),2)</f>
        <v/>
      </c>
      <c r="H319" s="23">
        <f>MIN(C$8,G319)+MAX(0,MIN(G319-MIN(C$8,G319),$C319-(0)))</f>
        <v/>
      </c>
      <c r="I319" s="23">
        <f>ROUND(G319-H319,2)</f>
        <v/>
      </c>
      <c r="J319" s="23">
        <f>ROUND(L318*(1+D$7/12),2)</f>
        <v/>
      </c>
      <c r="K319" s="23">
        <f>MIN(D$8,J319)+MAX(0,MIN(J319-MIN(D$8,J319),$C319-((H319-MIN(C$8,G319)))))</f>
        <v/>
      </c>
      <c r="L319" s="23">
        <f>ROUND(J319-K319,2)</f>
        <v/>
      </c>
      <c r="M319" s="23">
        <f>ROUND(O318*(1+E$7/12),2)</f>
        <v/>
      </c>
      <c r="N319" s="23">
        <f>MIN(E$8,M319)+MAX(0,MIN(M319-MIN(E$8,M319),$C319-((H319-MIN(C$8,G319))+(K319-MIN(D$8,J319)))))</f>
        <v/>
      </c>
      <c r="O319" s="23">
        <f>ROUND(M319-N319,2)</f>
        <v/>
      </c>
      <c r="P319" s="23">
        <f>ROUND(R318*(1+F$7/12),2)</f>
        <v/>
      </c>
      <c r="Q319" s="23">
        <f>MIN(F$8,P319)+MAX(0,MIN(P319-MIN(F$8,P319),$C319-((H319-MIN(C$8,G319))+(K319-MIN(D$8,J319))+(N319-MIN(E$8,M319)))))</f>
        <v/>
      </c>
      <c r="R319" s="23">
        <f>ROUND(P319-Q319,2)</f>
        <v/>
      </c>
      <c r="S319" s="23">
        <f>ROUND(U318*(1+G$7/12),2)</f>
        <v/>
      </c>
      <c r="T319" s="23">
        <f>MIN(G$8,S319)+MAX(0,MIN(S319-MIN(G$8,S319),$C319-((H319-MIN(C$8,G319))+(K319-MIN(D$8,J319))+(N319-MIN(E$8,M319))+(Q319-MIN(F$8,P319)))))</f>
        <v/>
      </c>
      <c r="U319" s="23">
        <f>ROUND(S319-T319,2)</f>
        <v/>
      </c>
    </row>
    <row r="320">
      <c r="A320" t="n">
        <v>309</v>
      </c>
      <c r="B320" s="22">
        <f>EDATE(Debts!$B$5,308)</f>
        <v/>
      </c>
      <c r="C320" s="23">
        <f>MAX(0,Debts!$B$6-(MIN(C$8,G320)+MIN(D$8,J320)+MIN(E$8,M320)+MIN(F$8,P320)+MIN(G$8,S320)))</f>
        <v/>
      </c>
      <c r="D320" s="23">
        <f>H320+K320+N320+Q320+T320</f>
        <v/>
      </c>
      <c r="E320" s="23">
        <f>I320+L320+O320+R320+U320</f>
        <v/>
      </c>
      <c r="F320" s="23" t="n"/>
      <c r="G320" s="23">
        <f>ROUND(I319*(1+C$7/12),2)</f>
        <v/>
      </c>
      <c r="H320" s="23">
        <f>MIN(C$8,G320)+MAX(0,MIN(G320-MIN(C$8,G320),$C320-(0)))</f>
        <v/>
      </c>
      <c r="I320" s="23">
        <f>ROUND(G320-H320,2)</f>
        <v/>
      </c>
      <c r="J320" s="23">
        <f>ROUND(L319*(1+D$7/12),2)</f>
        <v/>
      </c>
      <c r="K320" s="23">
        <f>MIN(D$8,J320)+MAX(0,MIN(J320-MIN(D$8,J320),$C320-((H320-MIN(C$8,G320)))))</f>
        <v/>
      </c>
      <c r="L320" s="23">
        <f>ROUND(J320-K320,2)</f>
        <v/>
      </c>
      <c r="M320" s="23">
        <f>ROUND(O319*(1+E$7/12),2)</f>
        <v/>
      </c>
      <c r="N320" s="23">
        <f>MIN(E$8,M320)+MAX(0,MIN(M320-MIN(E$8,M320),$C320-((H320-MIN(C$8,G320))+(K320-MIN(D$8,J320)))))</f>
        <v/>
      </c>
      <c r="O320" s="23">
        <f>ROUND(M320-N320,2)</f>
        <v/>
      </c>
      <c r="P320" s="23">
        <f>ROUND(R319*(1+F$7/12),2)</f>
        <v/>
      </c>
      <c r="Q320" s="23">
        <f>MIN(F$8,P320)+MAX(0,MIN(P320-MIN(F$8,P320),$C320-((H320-MIN(C$8,G320))+(K320-MIN(D$8,J320))+(N320-MIN(E$8,M320)))))</f>
        <v/>
      </c>
      <c r="R320" s="23">
        <f>ROUND(P320-Q320,2)</f>
        <v/>
      </c>
      <c r="S320" s="23">
        <f>ROUND(U319*(1+G$7/12),2)</f>
        <v/>
      </c>
      <c r="T320" s="23">
        <f>MIN(G$8,S320)+MAX(0,MIN(S320-MIN(G$8,S320),$C320-((H320-MIN(C$8,G320))+(K320-MIN(D$8,J320))+(N320-MIN(E$8,M320))+(Q320-MIN(F$8,P320)))))</f>
        <v/>
      </c>
      <c r="U320" s="23">
        <f>ROUND(S320-T320,2)</f>
        <v/>
      </c>
    </row>
    <row r="321">
      <c r="A321" t="n">
        <v>310</v>
      </c>
      <c r="B321" s="22">
        <f>EDATE(Debts!$B$5,309)</f>
        <v/>
      </c>
      <c r="C321" s="23">
        <f>MAX(0,Debts!$B$6-(MIN(C$8,G321)+MIN(D$8,J321)+MIN(E$8,M321)+MIN(F$8,P321)+MIN(G$8,S321)))</f>
        <v/>
      </c>
      <c r="D321" s="23">
        <f>H321+K321+N321+Q321+T321</f>
        <v/>
      </c>
      <c r="E321" s="23">
        <f>I321+L321+O321+R321+U321</f>
        <v/>
      </c>
      <c r="F321" s="23" t="n"/>
      <c r="G321" s="23">
        <f>ROUND(I320*(1+C$7/12),2)</f>
        <v/>
      </c>
      <c r="H321" s="23">
        <f>MIN(C$8,G321)+MAX(0,MIN(G321-MIN(C$8,G321),$C321-(0)))</f>
        <v/>
      </c>
      <c r="I321" s="23">
        <f>ROUND(G321-H321,2)</f>
        <v/>
      </c>
      <c r="J321" s="23">
        <f>ROUND(L320*(1+D$7/12),2)</f>
        <v/>
      </c>
      <c r="K321" s="23">
        <f>MIN(D$8,J321)+MAX(0,MIN(J321-MIN(D$8,J321),$C321-((H321-MIN(C$8,G321)))))</f>
        <v/>
      </c>
      <c r="L321" s="23">
        <f>ROUND(J321-K321,2)</f>
        <v/>
      </c>
      <c r="M321" s="23">
        <f>ROUND(O320*(1+E$7/12),2)</f>
        <v/>
      </c>
      <c r="N321" s="23">
        <f>MIN(E$8,M321)+MAX(0,MIN(M321-MIN(E$8,M321),$C321-((H321-MIN(C$8,G321))+(K321-MIN(D$8,J321)))))</f>
        <v/>
      </c>
      <c r="O321" s="23">
        <f>ROUND(M321-N321,2)</f>
        <v/>
      </c>
      <c r="P321" s="23">
        <f>ROUND(R320*(1+F$7/12),2)</f>
        <v/>
      </c>
      <c r="Q321" s="23">
        <f>MIN(F$8,P321)+MAX(0,MIN(P321-MIN(F$8,P321),$C321-((H321-MIN(C$8,G321))+(K321-MIN(D$8,J321))+(N321-MIN(E$8,M321)))))</f>
        <v/>
      </c>
      <c r="R321" s="23">
        <f>ROUND(P321-Q321,2)</f>
        <v/>
      </c>
      <c r="S321" s="23">
        <f>ROUND(U320*(1+G$7/12),2)</f>
        <v/>
      </c>
      <c r="T321" s="23">
        <f>MIN(G$8,S321)+MAX(0,MIN(S321-MIN(G$8,S321),$C321-((H321-MIN(C$8,G321))+(K321-MIN(D$8,J321))+(N321-MIN(E$8,M321))+(Q321-MIN(F$8,P321)))))</f>
        <v/>
      </c>
      <c r="U321" s="23">
        <f>ROUND(S321-T321,2)</f>
        <v/>
      </c>
    </row>
    <row r="322">
      <c r="A322" t="n">
        <v>311</v>
      </c>
      <c r="B322" s="22">
        <f>EDATE(Debts!$B$5,310)</f>
        <v/>
      </c>
      <c r="C322" s="23">
        <f>MAX(0,Debts!$B$6-(MIN(C$8,G322)+MIN(D$8,J322)+MIN(E$8,M322)+MIN(F$8,P322)+MIN(G$8,S322)))</f>
        <v/>
      </c>
      <c r="D322" s="23">
        <f>H322+K322+N322+Q322+T322</f>
        <v/>
      </c>
      <c r="E322" s="23">
        <f>I322+L322+O322+R322+U322</f>
        <v/>
      </c>
      <c r="F322" s="23" t="n"/>
      <c r="G322" s="23">
        <f>ROUND(I321*(1+C$7/12),2)</f>
        <v/>
      </c>
      <c r="H322" s="23">
        <f>MIN(C$8,G322)+MAX(0,MIN(G322-MIN(C$8,G322),$C322-(0)))</f>
        <v/>
      </c>
      <c r="I322" s="23">
        <f>ROUND(G322-H322,2)</f>
        <v/>
      </c>
      <c r="J322" s="23">
        <f>ROUND(L321*(1+D$7/12),2)</f>
        <v/>
      </c>
      <c r="K322" s="23">
        <f>MIN(D$8,J322)+MAX(0,MIN(J322-MIN(D$8,J322),$C322-((H322-MIN(C$8,G322)))))</f>
        <v/>
      </c>
      <c r="L322" s="23">
        <f>ROUND(J322-K322,2)</f>
        <v/>
      </c>
      <c r="M322" s="23">
        <f>ROUND(O321*(1+E$7/12),2)</f>
        <v/>
      </c>
      <c r="N322" s="23">
        <f>MIN(E$8,M322)+MAX(0,MIN(M322-MIN(E$8,M322),$C322-((H322-MIN(C$8,G322))+(K322-MIN(D$8,J322)))))</f>
        <v/>
      </c>
      <c r="O322" s="23">
        <f>ROUND(M322-N322,2)</f>
        <v/>
      </c>
      <c r="P322" s="23">
        <f>ROUND(R321*(1+F$7/12),2)</f>
        <v/>
      </c>
      <c r="Q322" s="23">
        <f>MIN(F$8,P322)+MAX(0,MIN(P322-MIN(F$8,P322),$C322-((H322-MIN(C$8,G322))+(K322-MIN(D$8,J322))+(N322-MIN(E$8,M322)))))</f>
        <v/>
      </c>
      <c r="R322" s="23">
        <f>ROUND(P322-Q322,2)</f>
        <v/>
      </c>
      <c r="S322" s="23">
        <f>ROUND(U321*(1+G$7/12),2)</f>
        <v/>
      </c>
      <c r="T322" s="23">
        <f>MIN(G$8,S322)+MAX(0,MIN(S322-MIN(G$8,S322),$C322-((H322-MIN(C$8,G322))+(K322-MIN(D$8,J322))+(N322-MIN(E$8,M322))+(Q322-MIN(F$8,P322)))))</f>
        <v/>
      </c>
      <c r="U322" s="23">
        <f>ROUND(S322-T322,2)</f>
        <v/>
      </c>
    </row>
    <row r="323">
      <c r="A323" t="n">
        <v>312</v>
      </c>
      <c r="B323" s="22">
        <f>EDATE(Debts!$B$5,311)</f>
        <v/>
      </c>
      <c r="C323" s="23">
        <f>MAX(0,Debts!$B$6-(MIN(C$8,G323)+MIN(D$8,J323)+MIN(E$8,M323)+MIN(F$8,P323)+MIN(G$8,S323)))</f>
        <v/>
      </c>
      <c r="D323" s="23">
        <f>H323+K323+N323+Q323+T323</f>
        <v/>
      </c>
      <c r="E323" s="23">
        <f>I323+L323+O323+R323+U323</f>
        <v/>
      </c>
      <c r="F323" s="23" t="n"/>
      <c r="G323" s="23">
        <f>ROUND(I322*(1+C$7/12),2)</f>
        <v/>
      </c>
      <c r="H323" s="23">
        <f>MIN(C$8,G323)+MAX(0,MIN(G323-MIN(C$8,G323),$C323-(0)))</f>
        <v/>
      </c>
      <c r="I323" s="23">
        <f>ROUND(G323-H323,2)</f>
        <v/>
      </c>
      <c r="J323" s="23">
        <f>ROUND(L322*(1+D$7/12),2)</f>
        <v/>
      </c>
      <c r="K323" s="23">
        <f>MIN(D$8,J323)+MAX(0,MIN(J323-MIN(D$8,J323),$C323-((H323-MIN(C$8,G323)))))</f>
        <v/>
      </c>
      <c r="L323" s="23">
        <f>ROUND(J323-K323,2)</f>
        <v/>
      </c>
      <c r="M323" s="23">
        <f>ROUND(O322*(1+E$7/12),2)</f>
        <v/>
      </c>
      <c r="N323" s="23">
        <f>MIN(E$8,M323)+MAX(0,MIN(M323-MIN(E$8,M323),$C323-((H323-MIN(C$8,G323))+(K323-MIN(D$8,J323)))))</f>
        <v/>
      </c>
      <c r="O323" s="23">
        <f>ROUND(M323-N323,2)</f>
        <v/>
      </c>
      <c r="P323" s="23">
        <f>ROUND(R322*(1+F$7/12),2)</f>
        <v/>
      </c>
      <c r="Q323" s="23">
        <f>MIN(F$8,P323)+MAX(0,MIN(P323-MIN(F$8,P323),$C323-((H323-MIN(C$8,G323))+(K323-MIN(D$8,J323))+(N323-MIN(E$8,M323)))))</f>
        <v/>
      </c>
      <c r="R323" s="23">
        <f>ROUND(P323-Q323,2)</f>
        <v/>
      </c>
      <c r="S323" s="23">
        <f>ROUND(U322*(1+G$7/12),2)</f>
        <v/>
      </c>
      <c r="T323" s="23">
        <f>MIN(G$8,S323)+MAX(0,MIN(S323-MIN(G$8,S323),$C323-((H323-MIN(C$8,G323))+(K323-MIN(D$8,J323))+(N323-MIN(E$8,M323))+(Q323-MIN(F$8,P323)))))</f>
        <v/>
      </c>
      <c r="U323" s="23">
        <f>ROUND(S323-T323,2)</f>
        <v/>
      </c>
    </row>
    <row r="324">
      <c r="A324" t="n">
        <v>313</v>
      </c>
      <c r="B324" s="22">
        <f>EDATE(Debts!$B$5,312)</f>
        <v/>
      </c>
      <c r="C324" s="23">
        <f>MAX(0,Debts!$B$6-(MIN(C$8,G324)+MIN(D$8,J324)+MIN(E$8,M324)+MIN(F$8,P324)+MIN(G$8,S324)))</f>
        <v/>
      </c>
      <c r="D324" s="23">
        <f>H324+K324+N324+Q324+T324</f>
        <v/>
      </c>
      <c r="E324" s="23">
        <f>I324+L324+O324+R324+U324</f>
        <v/>
      </c>
      <c r="F324" s="23" t="n"/>
      <c r="G324" s="23">
        <f>ROUND(I323*(1+C$7/12),2)</f>
        <v/>
      </c>
      <c r="H324" s="23">
        <f>MIN(C$8,G324)+MAX(0,MIN(G324-MIN(C$8,G324),$C324-(0)))</f>
        <v/>
      </c>
      <c r="I324" s="23">
        <f>ROUND(G324-H324,2)</f>
        <v/>
      </c>
      <c r="J324" s="23">
        <f>ROUND(L323*(1+D$7/12),2)</f>
        <v/>
      </c>
      <c r="K324" s="23">
        <f>MIN(D$8,J324)+MAX(0,MIN(J324-MIN(D$8,J324),$C324-((H324-MIN(C$8,G324)))))</f>
        <v/>
      </c>
      <c r="L324" s="23">
        <f>ROUND(J324-K324,2)</f>
        <v/>
      </c>
      <c r="M324" s="23">
        <f>ROUND(O323*(1+E$7/12),2)</f>
        <v/>
      </c>
      <c r="N324" s="23">
        <f>MIN(E$8,M324)+MAX(0,MIN(M324-MIN(E$8,M324),$C324-((H324-MIN(C$8,G324))+(K324-MIN(D$8,J324)))))</f>
        <v/>
      </c>
      <c r="O324" s="23">
        <f>ROUND(M324-N324,2)</f>
        <v/>
      </c>
      <c r="P324" s="23">
        <f>ROUND(R323*(1+F$7/12),2)</f>
        <v/>
      </c>
      <c r="Q324" s="23">
        <f>MIN(F$8,P324)+MAX(0,MIN(P324-MIN(F$8,P324),$C324-((H324-MIN(C$8,G324))+(K324-MIN(D$8,J324))+(N324-MIN(E$8,M324)))))</f>
        <v/>
      </c>
      <c r="R324" s="23">
        <f>ROUND(P324-Q324,2)</f>
        <v/>
      </c>
      <c r="S324" s="23">
        <f>ROUND(U323*(1+G$7/12),2)</f>
        <v/>
      </c>
      <c r="T324" s="23">
        <f>MIN(G$8,S324)+MAX(0,MIN(S324-MIN(G$8,S324),$C324-((H324-MIN(C$8,G324))+(K324-MIN(D$8,J324))+(N324-MIN(E$8,M324))+(Q324-MIN(F$8,P324)))))</f>
        <v/>
      </c>
      <c r="U324" s="23">
        <f>ROUND(S324-T324,2)</f>
        <v/>
      </c>
    </row>
    <row r="325">
      <c r="A325" t="n">
        <v>314</v>
      </c>
      <c r="B325" s="22">
        <f>EDATE(Debts!$B$5,313)</f>
        <v/>
      </c>
      <c r="C325" s="23">
        <f>MAX(0,Debts!$B$6-(MIN(C$8,G325)+MIN(D$8,J325)+MIN(E$8,M325)+MIN(F$8,P325)+MIN(G$8,S325)))</f>
        <v/>
      </c>
      <c r="D325" s="23">
        <f>H325+K325+N325+Q325+T325</f>
        <v/>
      </c>
      <c r="E325" s="23">
        <f>I325+L325+O325+R325+U325</f>
        <v/>
      </c>
      <c r="F325" s="23" t="n"/>
      <c r="G325" s="23">
        <f>ROUND(I324*(1+C$7/12),2)</f>
        <v/>
      </c>
      <c r="H325" s="23">
        <f>MIN(C$8,G325)+MAX(0,MIN(G325-MIN(C$8,G325),$C325-(0)))</f>
        <v/>
      </c>
      <c r="I325" s="23">
        <f>ROUND(G325-H325,2)</f>
        <v/>
      </c>
      <c r="J325" s="23">
        <f>ROUND(L324*(1+D$7/12),2)</f>
        <v/>
      </c>
      <c r="K325" s="23">
        <f>MIN(D$8,J325)+MAX(0,MIN(J325-MIN(D$8,J325),$C325-((H325-MIN(C$8,G325)))))</f>
        <v/>
      </c>
      <c r="L325" s="23">
        <f>ROUND(J325-K325,2)</f>
        <v/>
      </c>
      <c r="M325" s="23">
        <f>ROUND(O324*(1+E$7/12),2)</f>
        <v/>
      </c>
      <c r="N325" s="23">
        <f>MIN(E$8,M325)+MAX(0,MIN(M325-MIN(E$8,M325),$C325-((H325-MIN(C$8,G325))+(K325-MIN(D$8,J325)))))</f>
        <v/>
      </c>
      <c r="O325" s="23">
        <f>ROUND(M325-N325,2)</f>
        <v/>
      </c>
      <c r="P325" s="23">
        <f>ROUND(R324*(1+F$7/12),2)</f>
        <v/>
      </c>
      <c r="Q325" s="23">
        <f>MIN(F$8,P325)+MAX(0,MIN(P325-MIN(F$8,P325),$C325-((H325-MIN(C$8,G325))+(K325-MIN(D$8,J325))+(N325-MIN(E$8,M325)))))</f>
        <v/>
      </c>
      <c r="R325" s="23">
        <f>ROUND(P325-Q325,2)</f>
        <v/>
      </c>
      <c r="S325" s="23">
        <f>ROUND(U324*(1+G$7/12),2)</f>
        <v/>
      </c>
      <c r="T325" s="23">
        <f>MIN(G$8,S325)+MAX(0,MIN(S325-MIN(G$8,S325),$C325-((H325-MIN(C$8,G325))+(K325-MIN(D$8,J325))+(N325-MIN(E$8,M325))+(Q325-MIN(F$8,P325)))))</f>
        <v/>
      </c>
      <c r="U325" s="23">
        <f>ROUND(S325-T325,2)</f>
        <v/>
      </c>
    </row>
    <row r="326">
      <c r="A326" t="n">
        <v>315</v>
      </c>
      <c r="B326" s="22">
        <f>EDATE(Debts!$B$5,314)</f>
        <v/>
      </c>
      <c r="C326" s="23">
        <f>MAX(0,Debts!$B$6-(MIN(C$8,G326)+MIN(D$8,J326)+MIN(E$8,M326)+MIN(F$8,P326)+MIN(G$8,S326)))</f>
        <v/>
      </c>
      <c r="D326" s="23">
        <f>H326+K326+N326+Q326+T326</f>
        <v/>
      </c>
      <c r="E326" s="23">
        <f>I326+L326+O326+R326+U326</f>
        <v/>
      </c>
      <c r="F326" s="23" t="n"/>
      <c r="G326" s="23">
        <f>ROUND(I325*(1+C$7/12),2)</f>
        <v/>
      </c>
      <c r="H326" s="23">
        <f>MIN(C$8,G326)+MAX(0,MIN(G326-MIN(C$8,G326),$C326-(0)))</f>
        <v/>
      </c>
      <c r="I326" s="23">
        <f>ROUND(G326-H326,2)</f>
        <v/>
      </c>
      <c r="J326" s="23">
        <f>ROUND(L325*(1+D$7/12),2)</f>
        <v/>
      </c>
      <c r="K326" s="23">
        <f>MIN(D$8,J326)+MAX(0,MIN(J326-MIN(D$8,J326),$C326-((H326-MIN(C$8,G326)))))</f>
        <v/>
      </c>
      <c r="L326" s="23">
        <f>ROUND(J326-K326,2)</f>
        <v/>
      </c>
      <c r="M326" s="23">
        <f>ROUND(O325*(1+E$7/12),2)</f>
        <v/>
      </c>
      <c r="N326" s="23">
        <f>MIN(E$8,M326)+MAX(0,MIN(M326-MIN(E$8,M326),$C326-((H326-MIN(C$8,G326))+(K326-MIN(D$8,J326)))))</f>
        <v/>
      </c>
      <c r="O326" s="23">
        <f>ROUND(M326-N326,2)</f>
        <v/>
      </c>
      <c r="P326" s="23">
        <f>ROUND(R325*(1+F$7/12),2)</f>
        <v/>
      </c>
      <c r="Q326" s="23">
        <f>MIN(F$8,P326)+MAX(0,MIN(P326-MIN(F$8,P326),$C326-((H326-MIN(C$8,G326))+(K326-MIN(D$8,J326))+(N326-MIN(E$8,M326)))))</f>
        <v/>
      </c>
      <c r="R326" s="23">
        <f>ROUND(P326-Q326,2)</f>
        <v/>
      </c>
      <c r="S326" s="23">
        <f>ROUND(U325*(1+G$7/12),2)</f>
        <v/>
      </c>
      <c r="T326" s="23">
        <f>MIN(G$8,S326)+MAX(0,MIN(S326-MIN(G$8,S326),$C326-((H326-MIN(C$8,G326))+(K326-MIN(D$8,J326))+(N326-MIN(E$8,M326))+(Q326-MIN(F$8,P326)))))</f>
        <v/>
      </c>
      <c r="U326" s="23">
        <f>ROUND(S326-T326,2)</f>
        <v/>
      </c>
    </row>
    <row r="327">
      <c r="A327" t="n">
        <v>316</v>
      </c>
      <c r="B327" s="22">
        <f>EDATE(Debts!$B$5,315)</f>
        <v/>
      </c>
      <c r="C327" s="23">
        <f>MAX(0,Debts!$B$6-(MIN(C$8,G327)+MIN(D$8,J327)+MIN(E$8,M327)+MIN(F$8,P327)+MIN(G$8,S327)))</f>
        <v/>
      </c>
      <c r="D327" s="23">
        <f>H327+K327+N327+Q327+T327</f>
        <v/>
      </c>
      <c r="E327" s="23">
        <f>I327+L327+O327+R327+U327</f>
        <v/>
      </c>
      <c r="F327" s="23" t="n"/>
      <c r="G327" s="23">
        <f>ROUND(I326*(1+C$7/12),2)</f>
        <v/>
      </c>
      <c r="H327" s="23">
        <f>MIN(C$8,G327)+MAX(0,MIN(G327-MIN(C$8,G327),$C327-(0)))</f>
        <v/>
      </c>
      <c r="I327" s="23">
        <f>ROUND(G327-H327,2)</f>
        <v/>
      </c>
      <c r="J327" s="23">
        <f>ROUND(L326*(1+D$7/12),2)</f>
        <v/>
      </c>
      <c r="K327" s="23">
        <f>MIN(D$8,J327)+MAX(0,MIN(J327-MIN(D$8,J327),$C327-((H327-MIN(C$8,G327)))))</f>
        <v/>
      </c>
      <c r="L327" s="23">
        <f>ROUND(J327-K327,2)</f>
        <v/>
      </c>
      <c r="M327" s="23">
        <f>ROUND(O326*(1+E$7/12),2)</f>
        <v/>
      </c>
      <c r="N327" s="23">
        <f>MIN(E$8,M327)+MAX(0,MIN(M327-MIN(E$8,M327),$C327-((H327-MIN(C$8,G327))+(K327-MIN(D$8,J327)))))</f>
        <v/>
      </c>
      <c r="O327" s="23">
        <f>ROUND(M327-N327,2)</f>
        <v/>
      </c>
      <c r="P327" s="23">
        <f>ROUND(R326*(1+F$7/12),2)</f>
        <v/>
      </c>
      <c r="Q327" s="23">
        <f>MIN(F$8,P327)+MAX(0,MIN(P327-MIN(F$8,P327),$C327-((H327-MIN(C$8,G327))+(K327-MIN(D$8,J327))+(N327-MIN(E$8,M327)))))</f>
        <v/>
      </c>
      <c r="R327" s="23">
        <f>ROUND(P327-Q327,2)</f>
        <v/>
      </c>
      <c r="S327" s="23">
        <f>ROUND(U326*(1+G$7/12),2)</f>
        <v/>
      </c>
      <c r="T327" s="23">
        <f>MIN(G$8,S327)+MAX(0,MIN(S327-MIN(G$8,S327),$C327-((H327-MIN(C$8,G327))+(K327-MIN(D$8,J327))+(N327-MIN(E$8,M327))+(Q327-MIN(F$8,P327)))))</f>
        <v/>
      </c>
      <c r="U327" s="23">
        <f>ROUND(S327-T327,2)</f>
        <v/>
      </c>
    </row>
    <row r="328">
      <c r="A328" t="n">
        <v>317</v>
      </c>
      <c r="B328" s="22">
        <f>EDATE(Debts!$B$5,316)</f>
        <v/>
      </c>
      <c r="C328" s="23">
        <f>MAX(0,Debts!$B$6-(MIN(C$8,G328)+MIN(D$8,J328)+MIN(E$8,M328)+MIN(F$8,P328)+MIN(G$8,S328)))</f>
        <v/>
      </c>
      <c r="D328" s="23">
        <f>H328+K328+N328+Q328+T328</f>
        <v/>
      </c>
      <c r="E328" s="23">
        <f>I328+L328+O328+R328+U328</f>
        <v/>
      </c>
      <c r="F328" s="23" t="n"/>
      <c r="G328" s="23">
        <f>ROUND(I327*(1+C$7/12),2)</f>
        <v/>
      </c>
      <c r="H328" s="23">
        <f>MIN(C$8,G328)+MAX(0,MIN(G328-MIN(C$8,G328),$C328-(0)))</f>
        <v/>
      </c>
      <c r="I328" s="23">
        <f>ROUND(G328-H328,2)</f>
        <v/>
      </c>
      <c r="J328" s="23">
        <f>ROUND(L327*(1+D$7/12),2)</f>
        <v/>
      </c>
      <c r="K328" s="23">
        <f>MIN(D$8,J328)+MAX(0,MIN(J328-MIN(D$8,J328),$C328-((H328-MIN(C$8,G328)))))</f>
        <v/>
      </c>
      <c r="L328" s="23">
        <f>ROUND(J328-K328,2)</f>
        <v/>
      </c>
      <c r="M328" s="23">
        <f>ROUND(O327*(1+E$7/12),2)</f>
        <v/>
      </c>
      <c r="N328" s="23">
        <f>MIN(E$8,M328)+MAX(0,MIN(M328-MIN(E$8,M328),$C328-((H328-MIN(C$8,G328))+(K328-MIN(D$8,J328)))))</f>
        <v/>
      </c>
      <c r="O328" s="23">
        <f>ROUND(M328-N328,2)</f>
        <v/>
      </c>
      <c r="P328" s="23">
        <f>ROUND(R327*(1+F$7/12),2)</f>
        <v/>
      </c>
      <c r="Q328" s="23">
        <f>MIN(F$8,P328)+MAX(0,MIN(P328-MIN(F$8,P328),$C328-((H328-MIN(C$8,G328))+(K328-MIN(D$8,J328))+(N328-MIN(E$8,M328)))))</f>
        <v/>
      </c>
      <c r="R328" s="23">
        <f>ROUND(P328-Q328,2)</f>
        <v/>
      </c>
      <c r="S328" s="23">
        <f>ROUND(U327*(1+G$7/12),2)</f>
        <v/>
      </c>
      <c r="T328" s="23">
        <f>MIN(G$8,S328)+MAX(0,MIN(S328-MIN(G$8,S328),$C328-((H328-MIN(C$8,G328))+(K328-MIN(D$8,J328))+(N328-MIN(E$8,M328))+(Q328-MIN(F$8,P328)))))</f>
        <v/>
      </c>
      <c r="U328" s="23">
        <f>ROUND(S328-T328,2)</f>
        <v/>
      </c>
    </row>
    <row r="329">
      <c r="A329" t="n">
        <v>318</v>
      </c>
      <c r="B329" s="22">
        <f>EDATE(Debts!$B$5,317)</f>
        <v/>
      </c>
      <c r="C329" s="23">
        <f>MAX(0,Debts!$B$6-(MIN(C$8,G329)+MIN(D$8,J329)+MIN(E$8,M329)+MIN(F$8,P329)+MIN(G$8,S329)))</f>
        <v/>
      </c>
      <c r="D329" s="23">
        <f>H329+K329+N329+Q329+T329</f>
        <v/>
      </c>
      <c r="E329" s="23">
        <f>I329+L329+O329+R329+U329</f>
        <v/>
      </c>
      <c r="F329" s="23" t="n"/>
      <c r="G329" s="23">
        <f>ROUND(I328*(1+C$7/12),2)</f>
        <v/>
      </c>
      <c r="H329" s="23">
        <f>MIN(C$8,G329)+MAX(0,MIN(G329-MIN(C$8,G329),$C329-(0)))</f>
        <v/>
      </c>
      <c r="I329" s="23">
        <f>ROUND(G329-H329,2)</f>
        <v/>
      </c>
      <c r="J329" s="23">
        <f>ROUND(L328*(1+D$7/12),2)</f>
        <v/>
      </c>
      <c r="K329" s="23">
        <f>MIN(D$8,J329)+MAX(0,MIN(J329-MIN(D$8,J329),$C329-((H329-MIN(C$8,G329)))))</f>
        <v/>
      </c>
      <c r="L329" s="23">
        <f>ROUND(J329-K329,2)</f>
        <v/>
      </c>
      <c r="M329" s="23">
        <f>ROUND(O328*(1+E$7/12),2)</f>
        <v/>
      </c>
      <c r="N329" s="23">
        <f>MIN(E$8,M329)+MAX(0,MIN(M329-MIN(E$8,M329),$C329-((H329-MIN(C$8,G329))+(K329-MIN(D$8,J329)))))</f>
        <v/>
      </c>
      <c r="O329" s="23">
        <f>ROUND(M329-N329,2)</f>
        <v/>
      </c>
      <c r="P329" s="23">
        <f>ROUND(R328*(1+F$7/12),2)</f>
        <v/>
      </c>
      <c r="Q329" s="23">
        <f>MIN(F$8,P329)+MAX(0,MIN(P329-MIN(F$8,P329),$C329-((H329-MIN(C$8,G329))+(K329-MIN(D$8,J329))+(N329-MIN(E$8,M329)))))</f>
        <v/>
      </c>
      <c r="R329" s="23">
        <f>ROUND(P329-Q329,2)</f>
        <v/>
      </c>
      <c r="S329" s="23">
        <f>ROUND(U328*(1+G$7/12),2)</f>
        <v/>
      </c>
      <c r="T329" s="23">
        <f>MIN(G$8,S329)+MAX(0,MIN(S329-MIN(G$8,S329),$C329-((H329-MIN(C$8,G329))+(K329-MIN(D$8,J329))+(N329-MIN(E$8,M329))+(Q329-MIN(F$8,P329)))))</f>
        <v/>
      </c>
      <c r="U329" s="23">
        <f>ROUND(S329-T329,2)</f>
        <v/>
      </c>
    </row>
    <row r="330">
      <c r="A330" t="n">
        <v>319</v>
      </c>
      <c r="B330" s="22">
        <f>EDATE(Debts!$B$5,318)</f>
        <v/>
      </c>
      <c r="C330" s="23">
        <f>MAX(0,Debts!$B$6-(MIN(C$8,G330)+MIN(D$8,J330)+MIN(E$8,M330)+MIN(F$8,P330)+MIN(G$8,S330)))</f>
        <v/>
      </c>
      <c r="D330" s="23">
        <f>H330+K330+N330+Q330+T330</f>
        <v/>
      </c>
      <c r="E330" s="23">
        <f>I330+L330+O330+R330+U330</f>
        <v/>
      </c>
      <c r="F330" s="23" t="n"/>
      <c r="G330" s="23">
        <f>ROUND(I329*(1+C$7/12),2)</f>
        <v/>
      </c>
      <c r="H330" s="23">
        <f>MIN(C$8,G330)+MAX(0,MIN(G330-MIN(C$8,G330),$C330-(0)))</f>
        <v/>
      </c>
      <c r="I330" s="23">
        <f>ROUND(G330-H330,2)</f>
        <v/>
      </c>
      <c r="J330" s="23">
        <f>ROUND(L329*(1+D$7/12),2)</f>
        <v/>
      </c>
      <c r="K330" s="23">
        <f>MIN(D$8,J330)+MAX(0,MIN(J330-MIN(D$8,J330),$C330-((H330-MIN(C$8,G330)))))</f>
        <v/>
      </c>
      <c r="L330" s="23">
        <f>ROUND(J330-K330,2)</f>
        <v/>
      </c>
      <c r="M330" s="23">
        <f>ROUND(O329*(1+E$7/12),2)</f>
        <v/>
      </c>
      <c r="N330" s="23">
        <f>MIN(E$8,M330)+MAX(0,MIN(M330-MIN(E$8,M330),$C330-((H330-MIN(C$8,G330))+(K330-MIN(D$8,J330)))))</f>
        <v/>
      </c>
      <c r="O330" s="23">
        <f>ROUND(M330-N330,2)</f>
        <v/>
      </c>
      <c r="P330" s="23">
        <f>ROUND(R329*(1+F$7/12),2)</f>
        <v/>
      </c>
      <c r="Q330" s="23">
        <f>MIN(F$8,P330)+MAX(0,MIN(P330-MIN(F$8,P330),$C330-((H330-MIN(C$8,G330))+(K330-MIN(D$8,J330))+(N330-MIN(E$8,M330)))))</f>
        <v/>
      </c>
      <c r="R330" s="23">
        <f>ROUND(P330-Q330,2)</f>
        <v/>
      </c>
      <c r="S330" s="23">
        <f>ROUND(U329*(1+G$7/12),2)</f>
        <v/>
      </c>
      <c r="T330" s="23">
        <f>MIN(G$8,S330)+MAX(0,MIN(S330-MIN(G$8,S330),$C330-((H330-MIN(C$8,G330))+(K330-MIN(D$8,J330))+(N330-MIN(E$8,M330))+(Q330-MIN(F$8,P330)))))</f>
        <v/>
      </c>
      <c r="U330" s="23">
        <f>ROUND(S330-T330,2)</f>
        <v/>
      </c>
    </row>
    <row r="331">
      <c r="A331" t="n">
        <v>320</v>
      </c>
      <c r="B331" s="22">
        <f>EDATE(Debts!$B$5,319)</f>
        <v/>
      </c>
      <c r="C331" s="23">
        <f>MAX(0,Debts!$B$6-(MIN(C$8,G331)+MIN(D$8,J331)+MIN(E$8,M331)+MIN(F$8,P331)+MIN(G$8,S331)))</f>
        <v/>
      </c>
      <c r="D331" s="23">
        <f>H331+K331+N331+Q331+T331</f>
        <v/>
      </c>
      <c r="E331" s="23">
        <f>I331+L331+O331+R331+U331</f>
        <v/>
      </c>
      <c r="F331" s="23" t="n"/>
      <c r="G331" s="23">
        <f>ROUND(I330*(1+C$7/12),2)</f>
        <v/>
      </c>
      <c r="H331" s="23">
        <f>MIN(C$8,G331)+MAX(0,MIN(G331-MIN(C$8,G331),$C331-(0)))</f>
        <v/>
      </c>
      <c r="I331" s="23">
        <f>ROUND(G331-H331,2)</f>
        <v/>
      </c>
      <c r="J331" s="23">
        <f>ROUND(L330*(1+D$7/12),2)</f>
        <v/>
      </c>
      <c r="K331" s="23">
        <f>MIN(D$8,J331)+MAX(0,MIN(J331-MIN(D$8,J331),$C331-((H331-MIN(C$8,G331)))))</f>
        <v/>
      </c>
      <c r="L331" s="23">
        <f>ROUND(J331-K331,2)</f>
        <v/>
      </c>
      <c r="M331" s="23">
        <f>ROUND(O330*(1+E$7/12),2)</f>
        <v/>
      </c>
      <c r="N331" s="23">
        <f>MIN(E$8,M331)+MAX(0,MIN(M331-MIN(E$8,M331),$C331-((H331-MIN(C$8,G331))+(K331-MIN(D$8,J331)))))</f>
        <v/>
      </c>
      <c r="O331" s="23">
        <f>ROUND(M331-N331,2)</f>
        <v/>
      </c>
      <c r="P331" s="23">
        <f>ROUND(R330*(1+F$7/12),2)</f>
        <v/>
      </c>
      <c r="Q331" s="23">
        <f>MIN(F$8,P331)+MAX(0,MIN(P331-MIN(F$8,P331),$C331-((H331-MIN(C$8,G331))+(K331-MIN(D$8,J331))+(N331-MIN(E$8,M331)))))</f>
        <v/>
      </c>
      <c r="R331" s="23">
        <f>ROUND(P331-Q331,2)</f>
        <v/>
      </c>
      <c r="S331" s="23">
        <f>ROUND(U330*(1+G$7/12),2)</f>
        <v/>
      </c>
      <c r="T331" s="23">
        <f>MIN(G$8,S331)+MAX(0,MIN(S331-MIN(G$8,S331),$C331-((H331-MIN(C$8,G331))+(K331-MIN(D$8,J331))+(N331-MIN(E$8,M331))+(Q331-MIN(F$8,P331)))))</f>
        <v/>
      </c>
      <c r="U331" s="23">
        <f>ROUND(S331-T331,2)</f>
        <v/>
      </c>
    </row>
    <row r="332">
      <c r="A332" t="n">
        <v>321</v>
      </c>
      <c r="B332" s="22">
        <f>EDATE(Debts!$B$5,320)</f>
        <v/>
      </c>
      <c r="C332" s="23">
        <f>MAX(0,Debts!$B$6-(MIN(C$8,G332)+MIN(D$8,J332)+MIN(E$8,M332)+MIN(F$8,P332)+MIN(G$8,S332)))</f>
        <v/>
      </c>
      <c r="D332" s="23">
        <f>H332+K332+N332+Q332+T332</f>
        <v/>
      </c>
      <c r="E332" s="23">
        <f>I332+L332+O332+R332+U332</f>
        <v/>
      </c>
      <c r="F332" s="23" t="n"/>
      <c r="G332" s="23">
        <f>ROUND(I331*(1+C$7/12),2)</f>
        <v/>
      </c>
      <c r="H332" s="23">
        <f>MIN(C$8,G332)+MAX(0,MIN(G332-MIN(C$8,G332),$C332-(0)))</f>
        <v/>
      </c>
      <c r="I332" s="23">
        <f>ROUND(G332-H332,2)</f>
        <v/>
      </c>
      <c r="J332" s="23">
        <f>ROUND(L331*(1+D$7/12),2)</f>
        <v/>
      </c>
      <c r="K332" s="23">
        <f>MIN(D$8,J332)+MAX(0,MIN(J332-MIN(D$8,J332),$C332-((H332-MIN(C$8,G332)))))</f>
        <v/>
      </c>
      <c r="L332" s="23">
        <f>ROUND(J332-K332,2)</f>
        <v/>
      </c>
      <c r="M332" s="23">
        <f>ROUND(O331*(1+E$7/12),2)</f>
        <v/>
      </c>
      <c r="N332" s="23">
        <f>MIN(E$8,M332)+MAX(0,MIN(M332-MIN(E$8,M332),$C332-((H332-MIN(C$8,G332))+(K332-MIN(D$8,J332)))))</f>
        <v/>
      </c>
      <c r="O332" s="23">
        <f>ROUND(M332-N332,2)</f>
        <v/>
      </c>
      <c r="P332" s="23">
        <f>ROUND(R331*(1+F$7/12),2)</f>
        <v/>
      </c>
      <c r="Q332" s="23">
        <f>MIN(F$8,P332)+MAX(0,MIN(P332-MIN(F$8,P332),$C332-((H332-MIN(C$8,G332))+(K332-MIN(D$8,J332))+(N332-MIN(E$8,M332)))))</f>
        <v/>
      </c>
      <c r="R332" s="23">
        <f>ROUND(P332-Q332,2)</f>
        <v/>
      </c>
      <c r="S332" s="23">
        <f>ROUND(U331*(1+G$7/12),2)</f>
        <v/>
      </c>
      <c r="T332" s="23">
        <f>MIN(G$8,S332)+MAX(0,MIN(S332-MIN(G$8,S332),$C332-((H332-MIN(C$8,G332))+(K332-MIN(D$8,J332))+(N332-MIN(E$8,M332))+(Q332-MIN(F$8,P332)))))</f>
        <v/>
      </c>
      <c r="U332" s="23">
        <f>ROUND(S332-T332,2)</f>
        <v/>
      </c>
    </row>
    <row r="333">
      <c r="A333" t="n">
        <v>322</v>
      </c>
      <c r="B333" s="22">
        <f>EDATE(Debts!$B$5,321)</f>
        <v/>
      </c>
      <c r="C333" s="23">
        <f>MAX(0,Debts!$B$6-(MIN(C$8,G333)+MIN(D$8,J333)+MIN(E$8,M333)+MIN(F$8,P333)+MIN(G$8,S333)))</f>
        <v/>
      </c>
      <c r="D333" s="23">
        <f>H333+K333+N333+Q333+T333</f>
        <v/>
      </c>
      <c r="E333" s="23">
        <f>I333+L333+O333+R333+U333</f>
        <v/>
      </c>
      <c r="F333" s="23" t="n"/>
      <c r="G333" s="23">
        <f>ROUND(I332*(1+C$7/12),2)</f>
        <v/>
      </c>
      <c r="H333" s="23">
        <f>MIN(C$8,G333)+MAX(0,MIN(G333-MIN(C$8,G333),$C333-(0)))</f>
        <v/>
      </c>
      <c r="I333" s="23">
        <f>ROUND(G333-H333,2)</f>
        <v/>
      </c>
      <c r="J333" s="23">
        <f>ROUND(L332*(1+D$7/12),2)</f>
        <v/>
      </c>
      <c r="K333" s="23">
        <f>MIN(D$8,J333)+MAX(0,MIN(J333-MIN(D$8,J333),$C333-((H333-MIN(C$8,G333)))))</f>
        <v/>
      </c>
      <c r="L333" s="23">
        <f>ROUND(J333-K333,2)</f>
        <v/>
      </c>
      <c r="M333" s="23">
        <f>ROUND(O332*(1+E$7/12),2)</f>
        <v/>
      </c>
      <c r="N333" s="23">
        <f>MIN(E$8,M333)+MAX(0,MIN(M333-MIN(E$8,M333),$C333-((H333-MIN(C$8,G333))+(K333-MIN(D$8,J333)))))</f>
        <v/>
      </c>
      <c r="O333" s="23">
        <f>ROUND(M333-N333,2)</f>
        <v/>
      </c>
      <c r="P333" s="23">
        <f>ROUND(R332*(1+F$7/12),2)</f>
        <v/>
      </c>
      <c r="Q333" s="23">
        <f>MIN(F$8,P333)+MAX(0,MIN(P333-MIN(F$8,P333),$C333-((H333-MIN(C$8,G333))+(K333-MIN(D$8,J333))+(N333-MIN(E$8,M333)))))</f>
        <v/>
      </c>
      <c r="R333" s="23">
        <f>ROUND(P333-Q333,2)</f>
        <v/>
      </c>
      <c r="S333" s="23">
        <f>ROUND(U332*(1+G$7/12),2)</f>
        <v/>
      </c>
      <c r="T333" s="23">
        <f>MIN(G$8,S333)+MAX(0,MIN(S333-MIN(G$8,S333),$C333-((H333-MIN(C$8,G333))+(K333-MIN(D$8,J333))+(N333-MIN(E$8,M333))+(Q333-MIN(F$8,P333)))))</f>
        <v/>
      </c>
      <c r="U333" s="23">
        <f>ROUND(S333-T333,2)</f>
        <v/>
      </c>
    </row>
    <row r="334">
      <c r="A334" t="n">
        <v>323</v>
      </c>
      <c r="B334" s="22">
        <f>EDATE(Debts!$B$5,322)</f>
        <v/>
      </c>
      <c r="C334" s="23">
        <f>MAX(0,Debts!$B$6-(MIN(C$8,G334)+MIN(D$8,J334)+MIN(E$8,M334)+MIN(F$8,P334)+MIN(G$8,S334)))</f>
        <v/>
      </c>
      <c r="D334" s="23">
        <f>H334+K334+N334+Q334+T334</f>
        <v/>
      </c>
      <c r="E334" s="23">
        <f>I334+L334+O334+R334+U334</f>
        <v/>
      </c>
      <c r="F334" s="23" t="n"/>
      <c r="G334" s="23">
        <f>ROUND(I333*(1+C$7/12),2)</f>
        <v/>
      </c>
      <c r="H334" s="23">
        <f>MIN(C$8,G334)+MAX(0,MIN(G334-MIN(C$8,G334),$C334-(0)))</f>
        <v/>
      </c>
      <c r="I334" s="23">
        <f>ROUND(G334-H334,2)</f>
        <v/>
      </c>
      <c r="J334" s="23">
        <f>ROUND(L333*(1+D$7/12),2)</f>
        <v/>
      </c>
      <c r="K334" s="23">
        <f>MIN(D$8,J334)+MAX(0,MIN(J334-MIN(D$8,J334),$C334-((H334-MIN(C$8,G334)))))</f>
        <v/>
      </c>
      <c r="L334" s="23">
        <f>ROUND(J334-K334,2)</f>
        <v/>
      </c>
      <c r="M334" s="23">
        <f>ROUND(O333*(1+E$7/12),2)</f>
        <v/>
      </c>
      <c r="N334" s="23">
        <f>MIN(E$8,M334)+MAX(0,MIN(M334-MIN(E$8,M334),$C334-((H334-MIN(C$8,G334))+(K334-MIN(D$8,J334)))))</f>
        <v/>
      </c>
      <c r="O334" s="23">
        <f>ROUND(M334-N334,2)</f>
        <v/>
      </c>
      <c r="P334" s="23">
        <f>ROUND(R333*(1+F$7/12),2)</f>
        <v/>
      </c>
      <c r="Q334" s="23">
        <f>MIN(F$8,P334)+MAX(0,MIN(P334-MIN(F$8,P334),$C334-((H334-MIN(C$8,G334))+(K334-MIN(D$8,J334))+(N334-MIN(E$8,M334)))))</f>
        <v/>
      </c>
      <c r="R334" s="23">
        <f>ROUND(P334-Q334,2)</f>
        <v/>
      </c>
      <c r="S334" s="23">
        <f>ROUND(U333*(1+G$7/12),2)</f>
        <v/>
      </c>
      <c r="T334" s="23">
        <f>MIN(G$8,S334)+MAX(0,MIN(S334-MIN(G$8,S334),$C334-((H334-MIN(C$8,G334))+(K334-MIN(D$8,J334))+(N334-MIN(E$8,M334))+(Q334-MIN(F$8,P334)))))</f>
        <v/>
      </c>
      <c r="U334" s="23">
        <f>ROUND(S334-T334,2)</f>
        <v/>
      </c>
    </row>
    <row r="335">
      <c r="A335" t="n">
        <v>324</v>
      </c>
      <c r="B335" s="22">
        <f>EDATE(Debts!$B$5,323)</f>
        <v/>
      </c>
      <c r="C335" s="23">
        <f>MAX(0,Debts!$B$6-(MIN(C$8,G335)+MIN(D$8,J335)+MIN(E$8,M335)+MIN(F$8,P335)+MIN(G$8,S335)))</f>
        <v/>
      </c>
      <c r="D335" s="23">
        <f>H335+K335+N335+Q335+T335</f>
        <v/>
      </c>
      <c r="E335" s="23">
        <f>I335+L335+O335+R335+U335</f>
        <v/>
      </c>
      <c r="F335" s="23" t="n"/>
      <c r="G335" s="23">
        <f>ROUND(I334*(1+C$7/12),2)</f>
        <v/>
      </c>
      <c r="H335" s="23">
        <f>MIN(C$8,G335)+MAX(0,MIN(G335-MIN(C$8,G335),$C335-(0)))</f>
        <v/>
      </c>
      <c r="I335" s="23">
        <f>ROUND(G335-H335,2)</f>
        <v/>
      </c>
      <c r="J335" s="23">
        <f>ROUND(L334*(1+D$7/12),2)</f>
        <v/>
      </c>
      <c r="K335" s="23">
        <f>MIN(D$8,J335)+MAX(0,MIN(J335-MIN(D$8,J335),$C335-((H335-MIN(C$8,G335)))))</f>
        <v/>
      </c>
      <c r="L335" s="23">
        <f>ROUND(J335-K335,2)</f>
        <v/>
      </c>
      <c r="M335" s="23">
        <f>ROUND(O334*(1+E$7/12),2)</f>
        <v/>
      </c>
      <c r="N335" s="23">
        <f>MIN(E$8,M335)+MAX(0,MIN(M335-MIN(E$8,M335),$C335-((H335-MIN(C$8,G335))+(K335-MIN(D$8,J335)))))</f>
        <v/>
      </c>
      <c r="O335" s="23">
        <f>ROUND(M335-N335,2)</f>
        <v/>
      </c>
      <c r="P335" s="23">
        <f>ROUND(R334*(1+F$7/12),2)</f>
        <v/>
      </c>
      <c r="Q335" s="23">
        <f>MIN(F$8,P335)+MAX(0,MIN(P335-MIN(F$8,P335),$C335-((H335-MIN(C$8,G335))+(K335-MIN(D$8,J335))+(N335-MIN(E$8,M335)))))</f>
        <v/>
      </c>
      <c r="R335" s="23">
        <f>ROUND(P335-Q335,2)</f>
        <v/>
      </c>
      <c r="S335" s="23">
        <f>ROUND(U334*(1+G$7/12),2)</f>
        <v/>
      </c>
      <c r="T335" s="23">
        <f>MIN(G$8,S335)+MAX(0,MIN(S335-MIN(G$8,S335),$C335-((H335-MIN(C$8,G335))+(K335-MIN(D$8,J335))+(N335-MIN(E$8,M335))+(Q335-MIN(F$8,P335)))))</f>
        <v/>
      </c>
      <c r="U335" s="23">
        <f>ROUND(S335-T335,2)</f>
        <v/>
      </c>
    </row>
    <row r="336">
      <c r="A336" t="n">
        <v>325</v>
      </c>
      <c r="B336" s="22">
        <f>EDATE(Debts!$B$5,324)</f>
        <v/>
      </c>
      <c r="C336" s="23">
        <f>MAX(0,Debts!$B$6-(MIN(C$8,G336)+MIN(D$8,J336)+MIN(E$8,M336)+MIN(F$8,P336)+MIN(G$8,S336)))</f>
        <v/>
      </c>
      <c r="D336" s="23">
        <f>H336+K336+N336+Q336+T336</f>
        <v/>
      </c>
      <c r="E336" s="23">
        <f>I336+L336+O336+R336+U336</f>
        <v/>
      </c>
      <c r="F336" s="23" t="n"/>
      <c r="G336" s="23">
        <f>ROUND(I335*(1+C$7/12),2)</f>
        <v/>
      </c>
      <c r="H336" s="23">
        <f>MIN(C$8,G336)+MAX(0,MIN(G336-MIN(C$8,G336),$C336-(0)))</f>
        <v/>
      </c>
      <c r="I336" s="23">
        <f>ROUND(G336-H336,2)</f>
        <v/>
      </c>
      <c r="J336" s="23">
        <f>ROUND(L335*(1+D$7/12),2)</f>
        <v/>
      </c>
      <c r="K336" s="23">
        <f>MIN(D$8,J336)+MAX(0,MIN(J336-MIN(D$8,J336),$C336-((H336-MIN(C$8,G336)))))</f>
        <v/>
      </c>
      <c r="L336" s="23">
        <f>ROUND(J336-K336,2)</f>
        <v/>
      </c>
      <c r="M336" s="23">
        <f>ROUND(O335*(1+E$7/12),2)</f>
        <v/>
      </c>
      <c r="N336" s="23">
        <f>MIN(E$8,M336)+MAX(0,MIN(M336-MIN(E$8,M336),$C336-((H336-MIN(C$8,G336))+(K336-MIN(D$8,J336)))))</f>
        <v/>
      </c>
      <c r="O336" s="23">
        <f>ROUND(M336-N336,2)</f>
        <v/>
      </c>
      <c r="P336" s="23">
        <f>ROUND(R335*(1+F$7/12),2)</f>
        <v/>
      </c>
      <c r="Q336" s="23">
        <f>MIN(F$8,P336)+MAX(0,MIN(P336-MIN(F$8,P336),$C336-((H336-MIN(C$8,G336))+(K336-MIN(D$8,J336))+(N336-MIN(E$8,M336)))))</f>
        <v/>
      </c>
      <c r="R336" s="23">
        <f>ROUND(P336-Q336,2)</f>
        <v/>
      </c>
      <c r="S336" s="23">
        <f>ROUND(U335*(1+G$7/12),2)</f>
        <v/>
      </c>
      <c r="T336" s="23">
        <f>MIN(G$8,S336)+MAX(0,MIN(S336-MIN(G$8,S336),$C336-((H336-MIN(C$8,G336))+(K336-MIN(D$8,J336))+(N336-MIN(E$8,M336))+(Q336-MIN(F$8,P336)))))</f>
        <v/>
      </c>
      <c r="U336" s="23">
        <f>ROUND(S336-T336,2)</f>
        <v/>
      </c>
    </row>
    <row r="337">
      <c r="A337" t="n">
        <v>326</v>
      </c>
      <c r="B337" s="22">
        <f>EDATE(Debts!$B$5,325)</f>
        <v/>
      </c>
      <c r="C337" s="23">
        <f>MAX(0,Debts!$B$6-(MIN(C$8,G337)+MIN(D$8,J337)+MIN(E$8,M337)+MIN(F$8,P337)+MIN(G$8,S337)))</f>
        <v/>
      </c>
      <c r="D337" s="23">
        <f>H337+K337+N337+Q337+T337</f>
        <v/>
      </c>
      <c r="E337" s="23">
        <f>I337+L337+O337+R337+U337</f>
        <v/>
      </c>
      <c r="F337" s="23" t="n"/>
      <c r="G337" s="23">
        <f>ROUND(I336*(1+C$7/12),2)</f>
        <v/>
      </c>
      <c r="H337" s="23">
        <f>MIN(C$8,G337)+MAX(0,MIN(G337-MIN(C$8,G337),$C337-(0)))</f>
        <v/>
      </c>
      <c r="I337" s="23">
        <f>ROUND(G337-H337,2)</f>
        <v/>
      </c>
      <c r="J337" s="23">
        <f>ROUND(L336*(1+D$7/12),2)</f>
        <v/>
      </c>
      <c r="K337" s="23">
        <f>MIN(D$8,J337)+MAX(0,MIN(J337-MIN(D$8,J337),$C337-((H337-MIN(C$8,G337)))))</f>
        <v/>
      </c>
      <c r="L337" s="23">
        <f>ROUND(J337-K337,2)</f>
        <v/>
      </c>
      <c r="M337" s="23">
        <f>ROUND(O336*(1+E$7/12),2)</f>
        <v/>
      </c>
      <c r="N337" s="23">
        <f>MIN(E$8,M337)+MAX(0,MIN(M337-MIN(E$8,M337),$C337-((H337-MIN(C$8,G337))+(K337-MIN(D$8,J337)))))</f>
        <v/>
      </c>
      <c r="O337" s="23">
        <f>ROUND(M337-N337,2)</f>
        <v/>
      </c>
      <c r="P337" s="23">
        <f>ROUND(R336*(1+F$7/12),2)</f>
        <v/>
      </c>
      <c r="Q337" s="23">
        <f>MIN(F$8,P337)+MAX(0,MIN(P337-MIN(F$8,P337),$C337-((H337-MIN(C$8,G337))+(K337-MIN(D$8,J337))+(N337-MIN(E$8,M337)))))</f>
        <v/>
      </c>
      <c r="R337" s="23">
        <f>ROUND(P337-Q337,2)</f>
        <v/>
      </c>
      <c r="S337" s="23">
        <f>ROUND(U336*(1+G$7/12),2)</f>
        <v/>
      </c>
      <c r="T337" s="23">
        <f>MIN(G$8,S337)+MAX(0,MIN(S337-MIN(G$8,S337),$C337-((H337-MIN(C$8,G337))+(K337-MIN(D$8,J337))+(N337-MIN(E$8,M337))+(Q337-MIN(F$8,P337)))))</f>
        <v/>
      </c>
      <c r="U337" s="23">
        <f>ROUND(S337-T337,2)</f>
        <v/>
      </c>
    </row>
    <row r="338">
      <c r="A338" t="n">
        <v>327</v>
      </c>
      <c r="B338" s="22">
        <f>EDATE(Debts!$B$5,326)</f>
        <v/>
      </c>
      <c r="C338" s="23">
        <f>MAX(0,Debts!$B$6-(MIN(C$8,G338)+MIN(D$8,J338)+MIN(E$8,M338)+MIN(F$8,P338)+MIN(G$8,S338)))</f>
        <v/>
      </c>
      <c r="D338" s="23">
        <f>H338+K338+N338+Q338+T338</f>
        <v/>
      </c>
      <c r="E338" s="23">
        <f>I338+L338+O338+R338+U338</f>
        <v/>
      </c>
      <c r="F338" s="23" t="n"/>
      <c r="G338" s="23">
        <f>ROUND(I337*(1+C$7/12),2)</f>
        <v/>
      </c>
      <c r="H338" s="23">
        <f>MIN(C$8,G338)+MAX(0,MIN(G338-MIN(C$8,G338),$C338-(0)))</f>
        <v/>
      </c>
      <c r="I338" s="23">
        <f>ROUND(G338-H338,2)</f>
        <v/>
      </c>
      <c r="J338" s="23">
        <f>ROUND(L337*(1+D$7/12),2)</f>
        <v/>
      </c>
      <c r="K338" s="23">
        <f>MIN(D$8,J338)+MAX(0,MIN(J338-MIN(D$8,J338),$C338-((H338-MIN(C$8,G338)))))</f>
        <v/>
      </c>
      <c r="L338" s="23">
        <f>ROUND(J338-K338,2)</f>
        <v/>
      </c>
      <c r="M338" s="23">
        <f>ROUND(O337*(1+E$7/12),2)</f>
        <v/>
      </c>
      <c r="N338" s="23">
        <f>MIN(E$8,M338)+MAX(0,MIN(M338-MIN(E$8,M338),$C338-((H338-MIN(C$8,G338))+(K338-MIN(D$8,J338)))))</f>
        <v/>
      </c>
      <c r="O338" s="23">
        <f>ROUND(M338-N338,2)</f>
        <v/>
      </c>
      <c r="P338" s="23">
        <f>ROUND(R337*(1+F$7/12),2)</f>
        <v/>
      </c>
      <c r="Q338" s="23">
        <f>MIN(F$8,P338)+MAX(0,MIN(P338-MIN(F$8,P338),$C338-((H338-MIN(C$8,G338))+(K338-MIN(D$8,J338))+(N338-MIN(E$8,M338)))))</f>
        <v/>
      </c>
      <c r="R338" s="23">
        <f>ROUND(P338-Q338,2)</f>
        <v/>
      </c>
      <c r="S338" s="23">
        <f>ROUND(U337*(1+G$7/12),2)</f>
        <v/>
      </c>
      <c r="T338" s="23">
        <f>MIN(G$8,S338)+MAX(0,MIN(S338-MIN(G$8,S338),$C338-((H338-MIN(C$8,G338))+(K338-MIN(D$8,J338))+(N338-MIN(E$8,M338))+(Q338-MIN(F$8,P338)))))</f>
        <v/>
      </c>
      <c r="U338" s="23">
        <f>ROUND(S338-T338,2)</f>
        <v/>
      </c>
    </row>
    <row r="339">
      <c r="A339" t="n">
        <v>328</v>
      </c>
      <c r="B339" s="22">
        <f>EDATE(Debts!$B$5,327)</f>
        <v/>
      </c>
      <c r="C339" s="23">
        <f>MAX(0,Debts!$B$6-(MIN(C$8,G339)+MIN(D$8,J339)+MIN(E$8,M339)+MIN(F$8,P339)+MIN(G$8,S339)))</f>
        <v/>
      </c>
      <c r="D339" s="23">
        <f>H339+K339+N339+Q339+T339</f>
        <v/>
      </c>
      <c r="E339" s="23">
        <f>I339+L339+O339+R339+U339</f>
        <v/>
      </c>
      <c r="F339" s="23" t="n"/>
      <c r="G339" s="23">
        <f>ROUND(I338*(1+C$7/12),2)</f>
        <v/>
      </c>
      <c r="H339" s="23">
        <f>MIN(C$8,G339)+MAX(0,MIN(G339-MIN(C$8,G339),$C339-(0)))</f>
        <v/>
      </c>
      <c r="I339" s="23">
        <f>ROUND(G339-H339,2)</f>
        <v/>
      </c>
      <c r="J339" s="23">
        <f>ROUND(L338*(1+D$7/12),2)</f>
        <v/>
      </c>
      <c r="K339" s="23">
        <f>MIN(D$8,J339)+MAX(0,MIN(J339-MIN(D$8,J339),$C339-((H339-MIN(C$8,G339)))))</f>
        <v/>
      </c>
      <c r="L339" s="23">
        <f>ROUND(J339-K339,2)</f>
        <v/>
      </c>
      <c r="M339" s="23">
        <f>ROUND(O338*(1+E$7/12),2)</f>
        <v/>
      </c>
      <c r="N339" s="23">
        <f>MIN(E$8,M339)+MAX(0,MIN(M339-MIN(E$8,M339),$C339-((H339-MIN(C$8,G339))+(K339-MIN(D$8,J339)))))</f>
        <v/>
      </c>
      <c r="O339" s="23">
        <f>ROUND(M339-N339,2)</f>
        <v/>
      </c>
      <c r="P339" s="23">
        <f>ROUND(R338*(1+F$7/12),2)</f>
        <v/>
      </c>
      <c r="Q339" s="23">
        <f>MIN(F$8,P339)+MAX(0,MIN(P339-MIN(F$8,P339),$C339-((H339-MIN(C$8,G339))+(K339-MIN(D$8,J339))+(N339-MIN(E$8,M339)))))</f>
        <v/>
      </c>
      <c r="R339" s="23">
        <f>ROUND(P339-Q339,2)</f>
        <v/>
      </c>
      <c r="S339" s="23">
        <f>ROUND(U338*(1+G$7/12),2)</f>
        <v/>
      </c>
      <c r="T339" s="23">
        <f>MIN(G$8,S339)+MAX(0,MIN(S339-MIN(G$8,S339),$C339-((H339-MIN(C$8,G339))+(K339-MIN(D$8,J339))+(N339-MIN(E$8,M339))+(Q339-MIN(F$8,P339)))))</f>
        <v/>
      </c>
      <c r="U339" s="23">
        <f>ROUND(S339-T339,2)</f>
        <v/>
      </c>
    </row>
    <row r="340">
      <c r="A340" t="n">
        <v>329</v>
      </c>
      <c r="B340" s="22">
        <f>EDATE(Debts!$B$5,328)</f>
        <v/>
      </c>
      <c r="C340" s="23">
        <f>MAX(0,Debts!$B$6-(MIN(C$8,G340)+MIN(D$8,J340)+MIN(E$8,M340)+MIN(F$8,P340)+MIN(G$8,S340)))</f>
        <v/>
      </c>
      <c r="D340" s="23">
        <f>H340+K340+N340+Q340+T340</f>
        <v/>
      </c>
      <c r="E340" s="23">
        <f>I340+L340+O340+R340+U340</f>
        <v/>
      </c>
      <c r="F340" s="23" t="n"/>
      <c r="G340" s="23">
        <f>ROUND(I339*(1+C$7/12),2)</f>
        <v/>
      </c>
      <c r="H340" s="23">
        <f>MIN(C$8,G340)+MAX(0,MIN(G340-MIN(C$8,G340),$C340-(0)))</f>
        <v/>
      </c>
      <c r="I340" s="23">
        <f>ROUND(G340-H340,2)</f>
        <v/>
      </c>
      <c r="J340" s="23">
        <f>ROUND(L339*(1+D$7/12),2)</f>
        <v/>
      </c>
      <c r="K340" s="23">
        <f>MIN(D$8,J340)+MAX(0,MIN(J340-MIN(D$8,J340),$C340-((H340-MIN(C$8,G340)))))</f>
        <v/>
      </c>
      <c r="L340" s="23">
        <f>ROUND(J340-K340,2)</f>
        <v/>
      </c>
      <c r="M340" s="23">
        <f>ROUND(O339*(1+E$7/12),2)</f>
        <v/>
      </c>
      <c r="N340" s="23">
        <f>MIN(E$8,M340)+MAX(0,MIN(M340-MIN(E$8,M340),$C340-((H340-MIN(C$8,G340))+(K340-MIN(D$8,J340)))))</f>
        <v/>
      </c>
      <c r="O340" s="23">
        <f>ROUND(M340-N340,2)</f>
        <v/>
      </c>
      <c r="P340" s="23">
        <f>ROUND(R339*(1+F$7/12),2)</f>
        <v/>
      </c>
      <c r="Q340" s="23">
        <f>MIN(F$8,P340)+MAX(0,MIN(P340-MIN(F$8,P340),$C340-((H340-MIN(C$8,G340))+(K340-MIN(D$8,J340))+(N340-MIN(E$8,M340)))))</f>
        <v/>
      </c>
      <c r="R340" s="23">
        <f>ROUND(P340-Q340,2)</f>
        <v/>
      </c>
      <c r="S340" s="23">
        <f>ROUND(U339*(1+G$7/12),2)</f>
        <v/>
      </c>
      <c r="T340" s="23">
        <f>MIN(G$8,S340)+MAX(0,MIN(S340-MIN(G$8,S340),$C340-((H340-MIN(C$8,G340))+(K340-MIN(D$8,J340))+(N340-MIN(E$8,M340))+(Q340-MIN(F$8,P340)))))</f>
        <v/>
      </c>
      <c r="U340" s="23">
        <f>ROUND(S340-T340,2)</f>
        <v/>
      </c>
    </row>
    <row r="341">
      <c r="A341" t="n">
        <v>330</v>
      </c>
      <c r="B341" s="22">
        <f>EDATE(Debts!$B$5,329)</f>
        <v/>
      </c>
      <c r="C341" s="23">
        <f>MAX(0,Debts!$B$6-(MIN(C$8,G341)+MIN(D$8,J341)+MIN(E$8,M341)+MIN(F$8,P341)+MIN(G$8,S341)))</f>
        <v/>
      </c>
      <c r="D341" s="23">
        <f>H341+K341+N341+Q341+T341</f>
        <v/>
      </c>
      <c r="E341" s="23">
        <f>I341+L341+O341+R341+U341</f>
        <v/>
      </c>
      <c r="F341" s="23" t="n"/>
      <c r="G341" s="23">
        <f>ROUND(I340*(1+C$7/12),2)</f>
        <v/>
      </c>
      <c r="H341" s="23">
        <f>MIN(C$8,G341)+MAX(0,MIN(G341-MIN(C$8,G341),$C341-(0)))</f>
        <v/>
      </c>
      <c r="I341" s="23">
        <f>ROUND(G341-H341,2)</f>
        <v/>
      </c>
      <c r="J341" s="23">
        <f>ROUND(L340*(1+D$7/12),2)</f>
        <v/>
      </c>
      <c r="K341" s="23">
        <f>MIN(D$8,J341)+MAX(0,MIN(J341-MIN(D$8,J341),$C341-((H341-MIN(C$8,G341)))))</f>
        <v/>
      </c>
      <c r="L341" s="23">
        <f>ROUND(J341-K341,2)</f>
        <v/>
      </c>
      <c r="M341" s="23">
        <f>ROUND(O340*(1+E$7/12),2)</f>
        <v/>
      </c>
      <c r="N341" s="23">
        <f>MIN(E$8,M341)+MAX(0,MIN(M341-MIN(E$8,M341),$C341-((H341-MIN(C$8,G341))+(K341-MIN(D$8,J341)))))</f>
        <v/>
      </c>
      <c r="O341" s="23">
        <f>ROUND(M341-N341,2)</f>
        <v/>
      </c>
      <c r="P341" s="23">
        <f>ROUND(R340*(1+F$7/12),2)</f>
        <v/>
      </c>
      <c r="Q341" s="23">
        <f>MIN(F$8,P341)+MAX(0,MIN(P341-MIN(F$8,P341),$C341-((H341-MIN(C$8,G341))+(K341-MIN(D$8,J341))+(N341-MIN(E$8,M341)))))</f>
        <v/>
      </c>
      <c r="R341" s="23">
        <f>ROUND(P341-Q341,2)</f>
        <v/>
      </c>
      <c r="S341" s="23">
        <f>ROUND(U340*(1+G$7/12),2)</f>
        <v/>
      </c>
      <c r="T341" s="23">
        <f>MIN(G$8,S341)+MAX(0,MIN(S341-MIN(G$8,S341),$C341-((H341-MIN(C$8,G341))+(K341-MIN(D$8,J341))+(N341-MIN(E$8,M341))+(Q341-MIN(F$8,P341)))))</f>
        <v/>
      </c>
      <c r="U341" s="23">
        <f>ROUND(S341-T341,2)</f>
        <v/>
      </c>
    </row>
    <row r="342">
      <c r="A342" t="n">
        <v>331</v>
      </c>
      <c r="B342" s="22">
        <f>EDATE(Debts!$B$5,330)</f>
        <v/>
      </c>
      <c r="C342" s="23">
        <f>MAX(0,Debts!$B$6-(MIN(C$8,G342)+MIN(D$8,J342)+MIN(E$8,M342)+MIN(F$8,P342)+MIN(G$8,S342)))</f>
        <v/>
      </c>
      <c r="D342" s="23">
        <f>H342+K342+N342+Q342+T342</f>
        <v/>
      </c>
      <c r="E342" s="23">
        <f>I342+L342+O342+R342+U342</f>
        <v/>
      </c>
      <c r="F342" s="23" t="n"/>
      <c r="G342" s="23">
        <f>ROUND(I341*(1+C$7/12),2)</f>
        <v/>
      </c>
      <c r="H342" s="23">
        <f>MIN(C$8,G342)+MAX(0,MIN(G342-MIN(C$8,G342),$C342-(0)))</f>
        <v/>
      </c>
      <c r="I342" s="23">
        <f>ROUND(G342-H342,2)</f>
        <v/>
      </c>
      <c r="J342" s="23">
        <f>ROUND(L341*(1+D$7/12),2)</f>
        <v/>
      </c>
      <c r="K342" s="23">
        <f>MIN(D$8,J342)+MAX(0,MIN(J342-MIN(D$8,J342),$C342-((H342-MIN(C$8,G342)))))</f>
        <v/>
      </c>
      <c r="L342" s="23">
        <f>ROUND(J342-K342,2)</f>
        <v/>
      </c>
      <c r="M342" s="23">
        <f>ROUND(O341*(1+E$7/12),2)</f>
        <v/>
      </c>
      <c r="N342" s="23">
        <f>MIN(E$8,M342)+MAX(0,MIN(M342-MIN(E$8,M342),$C342-((H342-MIN(C$8,G342))+(K342-MIN(D$8,J342)))))</f>
        <v/>
      </c>
      <c r="O342" s="23">
        <f>ROUND(M342-N342,2)</f>
        <v/>
      </c>
      <c r="P342" s="23">
        <f>ROUND(R341*(1+F$7/12),2)</f>
        <v/>
      </c>
      <c r="Q342" s="23">
        <f>MIN(F$8,P342)+MAX(0,MIN(P342-MIN(F$8,P342),$C342-((H342-MIN(C$8,G342))+(K342-MIN(D$8,J342))+(N342-MIN(E$8,M342)))))</f>
        <v/>
      </c>
      <c r="R342" s="23">
        <f>ROUND(P342-Q342,2)</f>
        <v/>
      </c>
      <c r="S342" s="23">
        <f>ROUND(U341*(1+G$7/12),2)</f>
        <v/>
      </c>
      <c r="T342" s="23">
        <f>MIN(G$8,S342)+MAX(0,MIN(S342-MIN(G$8,S342),$C342-((H342-MIN(C$8,G342))+(K342-MIN(D$8,J342))+(N342-MIN(E$8,M342))+(Q342-MIN(F$8,P342)))))</f>
        <v/>
      </c>
      <c r="U342" s="23">
        <f>ROUND(S342-T342,2)</f>
        <v/>
      </c>
    </row>
    <row r="343">
      <c r="A343" t="n">
        <v>332</v>
      </c>
      <c r="B343" s="22">
        <f>EDATE(Debts!$B$5,331)</f>
        <v/>
      </c>
      <c r="C343" s="23">
        <f>MAX(0,Debts!$B$6-(MIN(C$8,G343)+MIN(D$8,J343)+MIN(E$8,M343)+MIN(F$8,P343)+MIN(G$8,S343)))</f>
        <v/>
      </c>
      <c r="D343" s="23">
        <f>H343+K343+N343+Q343+T343</f>
        <v/>
      </c>
      <c r="E343" s="23">
        <f>I343+L343+O343+R343+U343</f>
        <v/>
      </c>
      <c r="F343" s="23" t="n"/>
      <c r="G343" s="23">
        <f>ROUND(I342*(1+C$7/12),2)</f>
        <v/>
      </c>
      <c r="H343" s="23">
        <f>MIN(C$8,G343)+MAX(0,MIN(G343-MIN(C$8,G343),$C343-(0)))</f>
        <v/>
      </c>
      <c r="I343" s="23">
        <f>ROUND(G343-H343,2)</f>
        <v/>
      </c>
      <c r="J343" s="23">
        <f>ROUND(L342*(1+D$7/12),2)</f>
        <v/>
      </c>
      <c r="K343" s="23">
        <f>MIN(D$8,J343)+MAX(0,MIN(J343-MIN(D$8,J343),$C343-((H343-MIN(C$8,G343)))))</f>
        <v/>
      </c>
      <c r="L343" s="23">
        <f>ROUND(J343-K343,2)</f>
        <v/>
      </c>
      <c r="M343" s="23">
        <f>ROUND(O342*(1+E$7/12),2)</f>
        <v/>
      </c>
      <c r="N343" s="23">
        <f>MIN(E$8,M343)+MAX(0,MIN(M343-MIN(E$8,M343),$C343-((H343-MIN(C$8,G343))+(K343-MIN(D$8,J343)))))</f>
        <v/>
      </c>
      <c r="O343" s="23">
        <f>ROUND(M343-N343,2)</f>
        <v/>
      </c>
      <c r="P343" s="23">
        <f>ROUND(R342*(1+F$7/12),2)</f>
        <v/>
      </c>
      <c r="Q343" s="23">
        <f>MIN(F$8,P343)+MAX(0,MIN(P343-MIN(F$8,P343),$C343-((H343-MIN(C$8,G343))+(K343-MIN(D$8,J343))+(N343-MIN(E$8,M343)))))</f>
        <v/>
      </c>
      <c r="R343" s="23">
        <f>ROUND(P343-Q343,2)</f>
        <v/>
      </c>
      <c r="S343" s="23">
        <f>ROUND(U342*(1+G$7/12),2)</f>
        <v/>
      </c>
      <c r="T343" s="23">
        <f>MIN(G$8,S343)+MAX(0,MIN(S343-MIN(G$8,S343),$C343-((H343-MIN(C$8,G343))+(K343-MIN(D$8,J343))+(N343-MIN(E$8,M343))+(Q343-MIN(F$8,P343)))))</f>
        <v/>
      </c>
      <c r="U343" s="23">
        <f>ROUND(S343-T343,2)</f>
        <v/>
      </c>
    </row>
    <row r="344">
      <c r="A344" t="n">
        <v>333</v>
      </c>
      <c r="B344" s="22">
        <f>EDATE(Debts!$B$5,332)</f>
        <v/>
      </c>
      <c r="C344" s="23">
        <f>MAX(0,Debts!$B$6-(MIN(C$8,G344)+MIN(D$8,J344)+MIN(E$8,M344)+MIN(F$8,P344)+MIN(G$8,S344)))</f>
        <v/>
      </c>
      <c r="D344" s="23">
        <f>H344+K344+N344+Q344+T344</f>
        <v/>
      </c>
      <c r="E344" s="23">
        <f>I344+L344+O344+R344+U344</f>
        <v/>
      </c>
      <c r="F344" s="23" t="n"/>
      <c r="G344" s="23">
        <f>ROUND(I343*(1+C$7/12),2)</f>
        <v/>
      </c>
      <c r="H344" s="23">
        <f>MIN(C$8,G344)+MAX(0,MIN(G344-MIN(C$8,G344),$C344-(0)))</f>
        <v/>
      </c>
      <c r="I344" s="23">
        <f>ROUND(G344-H344,2)</f>
        <v/>
      </c>
      <c r="J344" s="23">
        <f>ROUND(L343*(1+D$7/12),2)</f>
        <v/>
      </c>
      <c r="K344" s="23">
        <f>MIN(D$8,J344)+MAX(0,MIN(J344-MIN(D$8,J344),$C344-((H344-MIN(C$8,G344)))))</f>
        <v/>
      </c>
      <c r="L344" s="23">
        <f>ROUND(J344-K344,2)</f>
        <v/>
      </c>
      <c r="M344" s="23">
        <f>ROUND(O343*(1+E$7/12),2)</f>
        <v/>
      </c>
      <c r="N344" s="23">
        <f>MIN(E$8,M344)+MAX(0,MIN(M344-MIN(E$8,M344),$C344-((H344-MIN(C$8,G344))+(K344-MIN(D$8,J344)))))</f>
        <v/>
      </c>
      <c r="O344" s="23">
        <f>ROUND(M344-N344,2)</f>
        <v/>
      </c>
      <c r="P344" s="23">
        <f>ROUND(R343*(1+F$7/12),2)</f>
        <v/>
      </c>
      <c r="Q344" s="23">
        <f>MIN(F$8,P344)+MAX(0,MIN(P344-MIN(F$8,P344),$C344-((H344-MIN(C$8,G344))+(K344-MIN(D$8,J344))+(N344-MIN(E$8,M344)))))</f>
        <v/>
      </c>
      <c r="R344" s="23">
        <f>ROUND(P344-Q344,2)</f>
        <v/>
      </c>
      <c r="S344" s="23">
        <f>ROUND(U343*(1+G$7/12),2)</f>
        <v/>
      </c>
      <c r="T344" s="23">
        <f>MIN(G$8,S344)+MAX(0,MIN(S344-MIN(G$8,S344),$C344-((H344-MIN(C$8,G344))+(K344-MIN(D$8,J344))+(N344-MIN(E$8,M344))+(Q344-MIN(F$8,P344)))))</f>
        <v/>
      </c>
      <c r="U344" s="23">
        <f>ROUND(S344-T344,2)</f>
        <v/>
      </c>
    </row>
    <row r="345">
      <c r="A345" t="n">
        <v>334</v>
      </c>
      <c r="B345" s="22">
        <f>EDATE(Debts!$B$5,333)</f>
        <v/>
      </c>
      <c r="C345" s="23">
        <f>MAX(0,Debts!$B$6-(MIN(C$8,G345)+MIN(D$8,J345)+MIN(E$8,M345)+MIN(F$8,P345)+MIN(G$8,S345)))</f>
        <v/>
      </c>
      <c r="D345" s="23">
        <f>H345+K345+N345+Q345+T345</f>
        <v/>
      </c>
      <c r="E345" s="23">
        <f>I345+L345+O345+R345+U345</f>
        <v/>
      </c>
      <c r="F345" s="23" t="n"/>
      <c r="G345" s="23">
        <f>ROUND(I344*(1+C$7/12),2)</f>
        <v/>
      </c>
      <c r="H345" s="23">
        <f>MIN(C$8,G345)+MAX(0,MIN(G345-MIN(C$8,G345),$C345-(0)))</f>
        <v/>
      </c>
      <c r="I345" s="23">
        <f>ROUND(G345-H345,2)</f>
        <v/>
      </c>
      <c r="J345" s="23">
        <f>ROUND(L344*(1+D$7/12),2)</f>
        <v/>
      </c>
      <c r="K345" s="23">
        <f>MIN(D$8,J345)+MAX(0,MIN(J345-MIN(D$8,J345),$C345-((H345-MIN(C$8,G345)))))</f>
        <v/>
      </c>
      <c r="L345" s="23">
        <f>ROUND(J345-K345,2)</f>
        <v/>
      </c>
      <c r="M345" s="23">
        <f>ROUND(O344*(1+E$7/12),2)</f>
        <v/>
      </c>
      <c r="N345" s="23">
        <f>MIN(E$8,M345)+MAX(0,MIN(M345-MIN(E$8,M345),$C345-((H345-MIN(C$8,G345))+(K345-MIN(D$8,J345)))))</f>
        <v/>
      </c>
      <c r="O345" s="23">
        <f>ROUND(M345-N345,2)</f>
        <v/>
      </c>
      <c r="P345" s="23">
        <f>ROUND(R344*(1+F$7/12),2)</f>
        <v/>
      </c>
      <c r="Q345" s="23">
        <f>MIN(F$8,P345)+MAX(0,MIN(P345-MIN(F$8,P345),$C345-((H345-MIN(C$8,G345))+(K345-MIN(D$8,J345))+(N345-MIN(E$8,M345)))))</f>
        <v/>
      </c>
      <c r="R345" s="23">
        <f>ROUND(P345-Q345,2)</f>
        <v/>
      </c>
      <c r="S345" s="23">
        <f>ROUND(U344*(1+G$7/12),2)</f>
        <v/>
      </c>
      <c r="T345" s="23">
        <f>MIN(G$8,S345)+MAX(0,MIN(S345-MIN(G$8,S345),$C345-((H345-MIN(C$8,G345))+(K345-MIN(D$8,J345))+(N345-MIN(E$8,M345))+(Q345-MIN(F$8,P345)))))</f>
        <v/>
      </c>
      <c r="U345" s="23">
        <f>ROUND(S345-T345,2)</f>
        <v/>
      </c>
    </row>
    <row r="346">
      <c r="A346" t="n">
        <v>335</v>
      </c>
      <c r="B346" s="22">
        <f>EDATE(Debts!$B$5,334)</f>
        <v/>
      </c>
      <c r="C346" s="23">
        <f>MAX(0,Debts!$B$6-(MIN(C$8,G346)+MIN(D$8,J346)+MIN(E$8,M346)+MIN(F$8,P346)+MIN(G$8,S346)))</f>
        <v/>
      </c>
      <c r="D346" s="23">
        <f>H346+K346+N346+Q346+T346</f>
        <v/>
      </c>
      <c r="E346" s="23">
        <f>I346+L346+O346+R346+U346</f>
        <v/>
      </c>
      <c r="F346" s="23" t="n"/>
      <c r="G346" s="23">
        <f>ROUND(I345*(1+C$7/12),2)</f>
        <v/>
      </c>
      <c r="H346" s="23">
        <f>MIN(C$8,G346)+MAX(0,MIN(G346-MIN(C$8,G346),$C346-(0)))</f>
        <v/>
      </c>
      <c r="I346" s="23">
        <f>ROUND(G346-H346,2)</f>
        <v/>
      </c>
      <c r="J346" s="23">
        <f>ROUND(L345*(1+D$7/12),2)</f>
        <v/>
      </c>
      <c r="K346" s="23">
        <f>MIN(D$8,J346)+MAX(0,MIN(J346-MIN(D$8,J346),$C346-((H346-MIN(C$8,G346)))))</f>
        <v/>
      </c>
      <c r="L346" s="23">
        <f>ROUND(J346-K346,2)</f>
        <v/>
      </c>
      <c r="M346" s="23">
        <f>ROUND(O345*(1+E$7/12),2)</f>
        <v/>
      </c>
      <c r="N346" s="23">
        <f>MIN(E$8,M346)+MAX(0,MIN(M346-MIN(E$8,M346),$C346-((H346-MIN(C$8,G346))+(K346-MIN(D$8,J346)))))</f>
        <v/>
      </c>
      <c r="O346" s="23">
        <f>ROUND(M346-N346,2)</f>
        <v/>
      </c>
      <c r="P346" s="23">
        <f>ROUND(R345*(1+F$7/12),2)</f>
        <v/>
      </c>
      <c r="Q346" s="23">
        <f>MIN(F$8,P346)+MAX(0,MIN(P346-MIN(F$8,P346),$C346-((H346-MIN(C$8,G346))+(K346-MIN(D$8,J346))+(N346-MIN(E$8,M346)))))</f>
        <v/>
      </c>
      <c r="R346" s="23">
        <f>ROUND(P346-Q346,2)</f>
        <v/>
      </c>
      <c r="S346" s="23">
        <f>ROUND(U345*(1+G$7/12),2)</f>
        <v/>
      </c>
      <c r="T346" s="23">
        <f>MIN(G$8,S346)+MAX(0,MIN(S346-MIN(G$8,S346),$C346-((H346-MIN(C$8,G346))+(K346-MIN(D$8,J346))+(N346-MIN(E$8,M346))+(Q346-MIN(F$8,P346)))))</f>
        <v/>
      </c>
      <c r="U346" s="23">
        <f>ROUND(S346-T346,2)</f>
        <v/>
      </c>
    </row>
    <row r="347">
      <c r="A347" t="n">
        <v>336</v>
      </c>
      <c r="B347" s="22">
        <f>EDATE(Debts!$B$5,335)</f>
        <v/>
      </c>
      <c r="C347" s="23">
        <f>MAX(0,Debts!$B$6-(MIN(C$8,G347)+MIN(D$8,J347)+MIN(E$8,M347)+MIN(F$8,P347)+MIN(G$8,S347)))</f>
        <v/>
      </c>
      <c r="D347" s="23">
        <f>H347+K347+N347+Q347+T347</f>
        <v/>
      </c>
      <c r="E347" s="23">
        <f>I347+L347+O347+R347+U347</f>
        <v/>
      </c>
      <c r="F347" s="23" t="n"/>
      <c r="G347" s="23">
        <f>ROUND(I346*(1+C$7/12),2)</f>
        <v/>
      </c>
      <c r="H347" s="23">
        <f>MIN(C$8,G347)+MAX(0,MIN(G347-MIN(C$8,G347),$C347-(0)))</f>
        <v/>
      </c>
      <c r="I347" s="23">
        <f>ROUND(G347-H347,2)</f>
        <v/>
      </c>
      <c r="J347" s="23">
        <f>ROUND(L346*(1+D$7/12),2)</f>
        <v/>
      </c>
      <c r="K347" s="23">
        <f>MIN(D$8,J347)+MAX(0,MIN(J347-MIN(D$8,J347),$C347-((H347-MIN(C$8,G347)))))</f>
        <v/>
      </c>
      <c r="L347" s="23">
        <f>ROUND(J347-K347,2)</f>
        <v/>
      </c>
      <c r="M347" s="23">
        <f>ROUND(O346*(1+E$7/12),2)</f>
        <v/>
      </c>
      <c r="N347" s="23">
        <f>MIN(E$8,M347)+MAX(0,MIN(M347-MIN(E$8,M347),$C347-((H347-MIN(C$8,G347))+(K347-MIN(D$8,J347)))))</f>
        <v/>
      </c>
      <c r="O347" s="23">
        <f>ROUND(M347-N347,2)</f>
        <v/>
      </c>
      <c r="P347" s="23">
        <f>ROUND(R346*(1+F$7/12),2)</f>
        <v/>
      </c>
      <c r="Q347" s="23">
        <f>MIN(F$8,P347)+MAX(0,MIN(P347-MIN(F$8,P347),$C347-((H347-MIN(C$8,G347))+(K347-MIN(D$8,J347))+(N347-MIN(E$8,M347)))))</f>
        <v/>
      </c>
      <c r="R347" s="23">
        <f>ROUND(P347-Q347,2)</f>
        <v/>
      </c>
      <c r="S347" s="23">
        <f>ROUND(U346*(1+G$7/12),2)</f>
        <v/>
      </c>
      <c r="T347" s="23">
        <f>MIN(G$8,S347)+MAX(0,MIN(S347-MIN(G$8,S347),$C347-((H347-MIN(C$8,G347))+(K347-MIN(D$8,J347))+(N347-MIN(E$8,M347))+(Q347-MIN(F$8,P347)))))</f>
        <v/>
      </c>
      <c r="U347" s="23">
        <f>ROUND(S347-T347,2)</f>
        <v/>
      </c>
    </row>
    <row r="348">
      <c r="A348" t="n">
        <v>337</v>
      </c>
      <c r="B348" s="22">
        <f>EDATE(Debts!$B$5,336)</f>
        <v/>
      </c>
      <c r="C348" s="23">
        <f>MAX(0,Debts!$B$6-(MIN(C$8,G348)+MIN(D$8,J348)+MIN(E$8,M348)+MIN(F$8,P348)+MIN(G$8,S348)))</f>
        <v/>
      </c>
      <c r="D348" s="23">
        <f>H348+K348+N348+Q348+T348</f>
        <v/>
      </c>
      <c r="E348" s="23">
        <f>I348+L348+O348+R348+U348</f>
        <v/>
      </c>
      <c r="F348" s="23" t="n"/>
      <c r="G348" s="23">
        <f>ROUND(I347*(1+C$7/12),2)</f>
        <v/>
      </c>
      <c r="H348" s="23">
        <f>MIN(C$8,G348)+MAX(0,MIN(G348-MIN(C$8,G348),$C348-(0)))</f>
        <v/>
      </c>
      <c r="I348" s="23">
        <f>ROUND(G348-H348,2)</f>
        <v/>
      </c>
      <c r="J348" s="23">
        <f>ROUND(L347*(1+D$7/12),2)</f>
        <v/>
      </c>
      <c r="K348" s="23">
        <f>MIN(D$8,J348)+MAX(0,MIN(J348-MIN(D$8,J348),$C348-((H348-MIN(C$8,G348)))))</f>
        <v/>
      </c>
      <c r="L348" s="23">
        <f>ROUND(J348-K348,2)</f>
        <v/>
      </c>
      <c r="M348" s="23">
        <f>ROUND(O347*(1+E$7/12),2)</f>
        <v/>
      </c>
      <c r="N348" s="23">
        <f>MIN(E$8,M348)+MAX(0,MIN(M348-MIN(E$8,M348),$C348-((H348-MIN(C$8,G348))+(K348-MIN(D$8,J348)))))</f>
        <v/>
      </c>
      <c r="O348" s="23">
        <f>ROUND(M348-N348,2)</f>
        <v/>
      </c>
      <c r="P348" s="23">
        <f>ROUND(R347*(1+F$7/12),2)</f>
        <v/>
      </c>
      <c r="Q348" s="23">
        <f>MIN(F$8,P348)+MAX(0,MIN(P348-MIN(F$8,P348),$C348-((H348-MIN(C$8,G348))+(K348-MIN(D$8,J348))+(N348-MIN(E$8,M348)))))</f>
        <v/>
      </c>
      <c r="R348" s="23">
        <f>ROUND(P348-Q348,2)</f>
        <v/>
      </c>
      <c r="S348" s="23">
        <f>ROUND(U347*(1+G$7/12),2)</f>
        <v/>
      </c>
      <c r="T348" s="23">
        <f>MIN(G$8,S348)+MAX(0,MIN(S348-MIN(G$8,S348),$C348-((H348-MIN(C$8,G348))+(K348-MIN(D$8,J348))+(N348-MIN(E$8,M348))+(Q348-MIN(F$8,P348)))))</f>
        <v/>
      </c>
      <c r="U348" s="23">
        <f>ROUND(S348-T348,2)</f>
        <v/>
      </c>
    </row>
    <row r="349">
      <c r="A349" t="n">
        <v>338</v>
      </c>
      <c r="B349" s="22">
        <f>EDATE(Debts!$B$5,337)</f>
        <v/>
      </c>
      <c r="C349" s="23">
        <f>MAX(0,Debts!$B$6-(MIN(C$8,G349)+MIN(D$8,J349)+MIN(E$8,M349)+MIN(F$8,P349)+MIN(G$8,S349)))</f>
        <v/>
      </c>
      <c r="D349" s="23">
        <f>H349+K349+N349+Q349+T349</f>
        <v/>
      </c>
      <c r="E349" s="23">
        <f>I349+L349+O349+R349+U349</f>
        <v/>
      </c>
      <c r="F349" s="23" t="n"/>
      <c r="G349" s="23">
        <f>ROUND(I348*(1+C$7/12),2)</f>
        <v/>
      </c>
      <c r="H349" s="23">
        <f>MIN(C$8,G349)+MAX(0,MIN(G349-MIN(C$8,G349),$C349-(0)))</f>
        <v/>
      </c>
      <c r="I349" s="23">
        <f>ROUND(G349-H349,2)</f>
        <v/>
      </c>
      <c r="J349" s="23">
        <f>ROUND(L348*(1+D$7/12),2)</f>
        <v/>
      </c>
      <c r="K349" s="23">
        <f>MIN(D$8,J349)+MAX(0,MIN(J349-MIN(D$8,J349),$C349-((H349-MIN(C$8,G349)))))</f>
        <v/>
      </c>
      <c r="L349" s="23">
        <f>ROUND(J349-K349,2)</f>
        <v/>
      </c>
      <c r="M349" s="23">
        <f>ROUND(O348*(1+E$7/12),2)</f>
        <v/>
      </c>
      <c r="N349" s="23">
        <f>MIN(E$8,M349)+MAX(0,MIN(M349-MIN(E$8,M349),$C349-((H349-MIN(C$8,G349))+(K349-MIN(D$8,J349)))))</f>
        <v/>
      </c>
      <c r="O349" s="23">
        <f>ROUND(M349-N349,2)</f>
        <v/>
      </c>
      <c r="P349" s="23">
        <f>ROUND(R348*(1+F$7/12),2)</f>
        <v/>
      </c>
      <c r="Q349" s="23">
        <f>MIN(F$8,P349)+MAX(0,MIN(P349-MIN(F$8,P349),$C349-((H349-MIN(C$8,G349))+(K349-MIN(D$8,J349))+(N349-MIN(E$8,M349)))))</f>
        <v/>
      </c>
      <c r="R349" s="23">
        <f>ROUND(P349-Q349,2)</f>
        <v/>
      </c>
      <c r="S349" s="23">
        <f>ROUND(U348*(1+G$7/12),2)</f>
        <v/>
      </c>
      <c r="T349" s="23">
        <f>MIN(G$8,S349)+MAX(0,MIN(S349-MIN(G$8,S349),$C349-((H349-MIN(C$8,G349))+(K349-MIN(D$8,J349))+(N349-MIN(E$8,M349))+(Q349-MIN(F$8,P349)))))</f>
        <v/>
      </c>
      <c r="U349" s="23">
        <f>ROUND(S349-T349,2)</f>
        <v/>
      </c>
    </row>
    <row r="350">
      <c r="A350" t="n">
        <v>339</v>
      </c>
      <c r="B350" s="22">
        <f>EDATE(Debts!$B$5,338)</f>
        <v/>
      </c>
      <c r="C350" s="23">
        <f>MAX(0,Debts!$B$6-(MIN(C$8,G350)+MIN(D$8,J350)+MIN(E$8,M350)+MIN(F$8,P350)+MIN(G$8,S350)))</f>
        <v/>
      </c>
      <c r="D350" s="23">
        <f>H350+K350+N350+Q350+T350</f>
        <v/>
      </c>
      <c r="E350" s="23">
        <f>I350+L350+O350+R350+U350</f>
        <v/>
      </c>
      <c r="F350" s="23" t="n"/>
      <c r="G350" s="23">
        <f>ROUND(I349*(1+C$7/12),2)</f>
        <v/>
      </c>
      <c r="H350" s="23">
        <f>MIN(C$8,G350)+MAX(0,MIN(G350-MIN(C$8,G350),$C350-(0)))</f>
        <v/>
      </c>
      <c r="I350" s="23">
        <f>ROUND(G350-H350,2)</f>
        <v/>
      </c>
      <c r="J350" s="23">
        <f>ROUND(L349*(1+D$7/12),2)</f>
        <v/>
      </c>
      <c r="K350" s="23">
        <f>MIN(D$8,J350)+MAX(0,MIN(J350-MIN(D$8,J350),$C350-((H350-MIN(C$8,G350)))))</f>
        <v/>
      </c>
      <c r="L350" s="23">
        <f>ROUND(J350-K350,2)</f>
        <v/>
      </c>
      <c r="M350" s="23">
        <f>ROUND(O349*(1+E$7/12),2)</f>
        <v/>
      </c>
      <c r="N350" s="23">
        <f>MIN(E$8,M350)+MAX(0,MIN(M350-MIN(E$8,M350),$C350-((H350-MIN(C$8,G350))+(K350-MIN(D$8,J350)))))</f>
        <v/>
      </c>
      <c r="O350" s="23">
        <f>ROUND(M350-N350,2)</f>
        <v/>
      </c>
      <c r="P350" s="23">
        <f>ROUND(R349*(1+F$7/12),2)</f>
        <v/>
      </c>
      <c r="Q350" s="23">
        <f>MIN(F$8,P350)+MAX(0,MIN(P350-MIN(F$8,P350),$C350-((H350-MIN(C$8,G350))+(K350-MIN(D$8,J350))+(N350-MIN(E$8,M350)))))</f>
        <v/>
      </c>
      <c r="R350" s="23">
        <f>ROUND(P350-Q350,2)</f>
        <v/>
      </c>
      <c r="S350" s="23">
        <f>ROUND(U349*(1+G$7/12),2)</f>
        <v/>
      </c>
      <c r="T350" s="23">
        <f>MIN(G$8,S350)+MAX(0,MIN(S350-MIN(G$8,S350),$C350-((H350-MIN(C$8,G350))+(K350-MIN(D$8,J350))+(N350-MIN(E$8,M350))+(Q350-MIN(F$8,P350)))))</f>
        <v/>
      </c>
      <c r="U350" s="23">
        <f>ROUND(S350-T350,2)</f>
        <v/>
      </c>
    </row>
    <row r="351">
      <c r="A351" t="n">
        <v>340</v>
      </c>
      <c r="B351" s="22">
        <f>EDATE(Debts!$B$5,339)</f>
        <v/>
      </c>
      <c r="C351" s="23">
        <f>MAX(0,Debts!$B$6-(MIN(C$8,G351)+MIN(D$8,J351)+MIN(E$8,M351)+MIN(F$8,P351)+MIN(G$8,S351)))</f>
        <v/>
      </c>
      <c r="D351" s="23">
        <f>H351+K351+N351+Q351+T351</f>
        <v/>
      </c>
      <c r="E351" s="23">
        <f>I351+L351+O351+R351+U351</f>
        <v/>
      </c>
      <c r="F351" s="23" t="n"/>
      <c r="G351" s="23">
        <f>ROUND(I350*(1+C$7/12),2)</f>
        <v/>
      </c>
      <c r="H351" s="23">
        <f>MIN(C$8,G351)+MAX(0,MIN(G351-MIN(C$8,G351),$C351-(0)))</f>
        <v/>
      </c>
      <c r="I351" s="23">
        <f>ROUND(G351-H351,2)</f>
        <v/>
      </c>
      <c r="J351" s="23">
        <f>ROUND(L350*(1+D$7/12),2)</f>
        <v/>
      </c>
      <c r="K351" s="23">
        <f>MIN(D$8,J351)+MAX(0,MIN(J351-MIN(D$8,J351),$C351-((H351-MIN(C$8,G351)))))</f>
        <v/>
      </c>
      <c r="L351" s="23">
        <f>ROUND(J351-K351,2)</f>
        <v/>
      </c>
      <c r="M351" s="23">
        <f>ROUND(O350*(1+E$7/12),2)</f>
        <v/>
      </c>
      <c r="N351" s="23">
        <f>MIN(E$8,M351)+MAX(0,MIN(M351-MIN(E$8,M351),$C351-((H351-MIN(C$8,G351))+(K351-MIN(D$8,J351)))))</f>
        <v/>
      </c>
      <c r="O351" s="23">
        <f>ROUND(M351-N351,2)</f>
        <v/>
      </c>
      <c r="P351" s="23">
        <f>ROUND(R350*(1+F$7/12),2)</f>
        <v/>
      </c>
      <c r="Q351" s="23">
        <f>MIN(F$8,P351)+MAX(0,MIN(P351-MIN(F$8,P351),$C351-((H351-MIN(C$8,G351))+(K351-MIN(D$8,J351))+(N351-MIN(E$8,M351)))))</f>
        <v/>
      </c>
      <c r="R351" s="23">
        <f>ROUND(P351-Q351,2)</f>
        <v/>
      </c>
      <c r="S351" s="23">
        <f>ROUND(U350*(1+G$7/12),2)</f>
        <v/>
      </c>
      <c r="T351" s="23">
        <f>MIN(G$8,S351)+MAX(0,MIN(S351-MIN(G$8,S351),$C351-((H351-MIN(C$8,G351))+(K351-MIN(D$8,J351))+(N351-MIN(E$8,M351))+(Q351-MIN(F$8,P351)))))</f>
        <v/>
      </c>
      <c r="U351" s="23">
        <f>ROUND(S351-T351,2)</f>
        <v/>
      </c>
    </row>
    <row r="352">
      <c r="A352" t="n">
        <v>341</v>
      </c>
      <c r="B352" s="22">
        <f>EDATE(Debts!$B$5,340)</f>
        <v/>
      </c>
      <c r="C352" s="23">
        <f>MAX(0,Debts!$B$6-(MIN(C$8,G352)+MIN(D$8,J352)+MIN(E$8,M352)+MIN(F$8,P352)+MIN(G$8,S352)))</f>
        <v/>
      </c>
      <c r="D352" s="23">
        <f>H352+K352+N352+Q352+T352</f>
        <v/>
      </c>
      <c r="E352" s="23">
        <f>I352+L352+O352+R352+U352</f>
        <v/>
      </c>
      <c r="F352" s="23" t="n"/>
      <c r="G352" s="23">
        <f>ROUND(I351*(1+C$7/12),2)</f>
        <v/>
      </c>
      <c r="H352" s="23">
        <f>MIN(C$8,G352)+MAX(0,MIN(G352-MIN(C$8,G352),$C352-(0)))</f>
        <v/>
      </c>
      <c r="I352" s="23">
        <f>ROUND(G352-H352,2)</f>
        <v/>
      </c>
      <c r="J352" s="23">
        <f>ROUND(L351*(1+D$7/12),2)</f>
        <v/>
      </c>
      <c r="K352" s="23">
        <f>MIN(D$8,J352)+MAX(0,MIN(J352-MIN(D$8,J352),$C352-((H352-MIN(C$8,G352)))))</f>
        <v/>
      </c>
      <c r="L352" s="23">
        <f>ROUND(J352-K352,2)</f>
        <v/>
      </c>
      <c r="M352" s="23">
        <f>ROUND(O351*(1+E$7/12),2)</f>
        <v/>
      </c>
      <c r="N352" s="23">
        <f>MIN(E$8,M352)+MAX(0,MIN(M352-MIN(E$8,M352),$C352-((H352-MIN(C$8,G352))+(K352-MIN(D$8,J352)))))</f>
        <v/>
      </c>
      <c r="O352" s="23">
        <f>ROUND(M352-N352,2)</f>
        <v/>
      </c>
      <c r="P352" s="23">
        <f>ROUND(R351*(1+F$7/12),2)</f>
        <v/>
      </c>
      <c r="Q352" s="23">
        <f>MIN(F$8,P352)+MAX(0,MIN(P352-MIN(F$8,P352),$C352-((H352-MIN(C$8,G352))+(K352-MIN(D$8,J352))+(N352-MIN(E$8,M352)))))</f>
        <v/>
      </c>
      <c r="R352" s="23">
        <f>ROUND(P352-Q352,2)</f>
        <v/>
      </c>
      <c r="S352" s="23">
        <f>ROUND(U351*(1+G$7/12),2)</f>
        <v/>
      </c>
      <c r="T352" s="23">
        <f>MIN(G$8,S352)+MAX(0,MIN(S352-MIN(G$8,S352),$C352-((H352-MIN(C$8,G352))+(K352-MIN(D$8,J352))+(N352-MIN(E$8,M352))+(Q352-MIN(F$8,P352)))))</f>
        <v/>
      </c>
      <c r="U352" s="23">
        <f>ROUND(S352-T352,2)</f>
        <v/>
      </c>
    </row>
    <row r="353">
      <c r="A353" t="n">
        <v>342</v>
      </c>
      <c r="B353" s="22">
        <f>EDATE(Debts!$B$5,341)</f>
        <v/>
      </c>
      <c r="C353" s="23">
        <f>MAX(0,Debts!$B$6-(MIN(C$8,G353)+MIN(D$8,J353)+MIN(E$8,M353)+MIN(F$8,P353)+MIN(G$8,S353)))</f>
        <v/>
      </c>
      <c r="D353" s="23">
        <f>H353+K353+N353+Q353+T353</f>
        <v/>
      </c>
      <c r="E353" s="23">
        <f>I353+L353+O353+R353+U353</f>
        <v/>
      </c>
      <c r="F353" s="23" t="n"/>
      <c r="G353" s="23">
        <f>ROUND(I352*(1+C$7/12),2)</f>
        <v/>
      </c>
      <c r="H353" s="23">
        <f>MIN(C$8,G353)+MAX(0,MIN(G353-MIN(C$8,G353),$C353-(0)))</f>
        <v/>
      </c>
      <c r="I353" s="23">
        <f>ROUND(G353-H353,2)</f>
        <v/>
      </c>
      <c r="J353" s="23">
        <f>ROUND(L352*(1+D$7/12),2)</f>
        <v/>
      </c>
      <c r="K353" s="23">
        <f>MIN(D$8,J353)+MAX(0,MIN(J353-MIN(D$8,J353),$C353-((H353-MIN(C$8,G353)))))</f>
        <v/>
      </c>
      <c r="L353" s="23">
        <f>ROUND(J353-K353,2)</f>
        <v/>
      </c>
      <c r="M353" s="23">
        <f>ROUND(O352*(1+E$7/12),2)</f>
        <v/>
      </c>
      <c r="N353" s="23">
        <f>MIN(E$8,M353)+MAX(0,MIN(M353-MIN(E$8,M353),$C353-((H353-MIN(C$8,G353))+(K353-MIN(D$8,J353)))))</f>
        <v/>
      </c>
      <c r="O353" s="23">
        <f>ROUND(M353-N353,2)</f>
        <v/>
      </c>
      <c r="P353" s="23">
        <f>ROUND(R352*(1+F$7/12),2)</f>
        <v/>
      </c>
      <c r="Q353" s="23">
        <f>MIN(F$8,P353)+MAX(0,MIN(P353-MIN(F$8,P353),$C353-((H353-MIN(C$8,G353))+(K353-MIN(D$8,J353))+(N353-MIN(E$8,M353)))))</f>
        <v/>
      </c>
      <c r="R353" s="23">
        <f>ROUND(P353-Q353,2)</f>
        <v/>
      </c>
      <c r="S353" s="23">
        <f>ROUND(U352*(1+G$7/12),2)</f>
        <v/>
      </c>
      <c r="T353" s="23">
        <f>MIN(G$8,S353)+MAX(0,MIN(S353-MIN(G$8,S353),$C353-((H353-MIN(C$8,G353))+(K353-MIN(D$8,J353))+(N353-MIN(E$8,M353))+(Q353-MIN(F$8,P353)))))</f>
        <v/>
      </c>
      <c r="U353" s="23">
        <f>ROUND(S353-T353,2)</f>
        <v/>
      </c>
    </row>
    <row r="354">
      <c r="A354" t="n">
        <v>343</v>
      </c>
      <c r="B354" s="22">
        <f>EDATE(Debts!$B$5,342)</f>
        <v/>
      </c>
      <c r="C354" s="23">
        <f>MAX(0,Debts!$B$6-(MIN(C$8,G354)+MIN(D$8,J354)+MIN(E$8,M354)+MIN(F$8,P354)+MIN(G$8,S354)))</f>
        <v/>
      </c>
      <c r="D354" s="23">
        <f>H354+K354+N354+Q354+T354</f>
        <v/>
      </c>
      <c r="E354" s="23">
        <f>I354+L354+O354+R354+U354</f>
        <v/>
      </c>
      <c r="F354" s="23" t="n"/>
      <c r="G354" s="23">
        <f>ROUND(I353*(1+C$7/12),2)</f>
        <v/>
      </c>
      <c r="H354" s="23">
        <f>MIN(C$8,G354)+MAX(0,MIN(G354-MIN(C$8,G354),$C354-(0)))</f>
        <v/>
      </c>
      <c r="I354" s="23">
        <f>ROUND(G354-H354,2)</f>
        <v/>
      </c>
      <c r="J354" s="23">
        <f>ROUND(L353*(1+D$7/12),2)</f>
        <v/>
      </c>
      <c r="K354" s="23">
        <f>MIN(D$8,J354)+MAX(0,MIN(J354-MIN(D$8,J354),$C354-((H354-MIN(C$8,G354)))))</f>
        <v/>
      </c>
      <c r="L354" s="23">
        <f>ROUND(J354-K354,2)</f>
        <v/>
      </c>
      <c r="M354" s="23">
        <f>ROUND(O353*(1+E$7/12),2)</f>
        <v/>
      </c>
      <c r="N354" s="23">
        <f>MIN(E$8,M354)+MAX(0,MIN(M354-MIN(E$8,M354),$C354-((H354-MIN(C$8,G354))+(K354-MIN(D$8,J354)))))</f>
        <v/>
      </c>
      <c r="O354" s="23">
        <f>ROUND(M354-N354,2)</f>
        <v/>
      </c>
      <c r="P354" s="23">
        <f>ROUND(R353*(1+F$7/12),2)</f>
        <v/>
      </c>
      <c r="Q354" s="23">
        <f>MIN(F$8,P354)+MAX(0,MIN(P354-MIN(F$8,P354),$C354-((H354-MIN(C$8,G354))+(K354-MIN(D$8,J354))+(N354-MIN(E$8,M354)))))</f>
        <v/>
      </c>
      <c r="R354" s="23">
        <f>ROUND(P354-Q354,2)</f>
        <v/>
      </c>
      <c r="S354" s="23">
        <f>ROUND(U353*(1+G$7/12),2)</f>
        <v/>
      </c>
      <c r="T354" s="23">
        <f>MIN(G$8,S354)+MAX(0,MIN(S354-MIN(G$8,S354),$C354-((H354-MIN(C$8,G354))+(K354-MIN(D$8,J354))+(N354-MIN(E$8,M354))+(Q354-MIN(F$8,P354)))))</f>
        <v/>
      </c>
      <c r="U354" s="23">
        <f>ROUND(S354-T354,2)</f>
        <v/>
      </c>
    </row>
    <row r="355">
      <c r="A355" t="n">
        <v>344</v>
      </c>
      <c r="B355" s="22">
        <f>EDATE(Debts!$B$5,343)</f>
        <v/>
      </c>
      <c r="C355" s="23">
        <f>MAX(0,Debts!$B$6-(MIN(C$8,G355)+MIN(D$8,J355)+MIN(E$8,M355)+MIN(F$8,P355)+MIN(G$8,S355)))</f>
        <v/>
      </c>
      <c r="D355" s="23">
        <f>H355+K355+N355+Q355+T355</f>
        <v/>
      </c>
      <c r="E355" s="23">
        <f>I355+L355+O355+R355+U355</f>
        <v/>
      </c>
      <c r="F355" s="23" t="n"/>
      <c r="G355" s="23">
        <f>ROUND(I354*(1+C$7/12),2)</f>
        <v/>
      </c>
      <c r="H355" s="23">
        <f>MIN(C$8,G355)+MAX(0,MIN(G355-MIN(C$8,G355),$C355-(0)))</f>
        <v/>
      </c>
      <c r="I355" s="23">
        <f>ROUND(G355-H355,2)</f>
        <v/>
      </c>
      <c r="J355" s="23">
        <f>ROUND(L354*(1+D$7/12),2)</f>
        <v/>
      </c>
      <c r="K355" s="23">
        <f>MIN(D$8,J355)+MAX(0,MIN(J355-MIN(D$8,J355),$C355-((H355-MIN(C$8,G355)))))</f>
        <v/>
      </c>
      <c r="L355" s="23">
        <f>ROUND(J355-K355,2)</f>
        <v/>
      </c>
      <c r="M355" s="23">
        <f>ROUND(O354*(1+E$7/12),2)</f>
        <v/>
      </c>
      <c r="N355" s="23">
        <f>MIN(E$8,M355)+MAX(0,MIN(M355-MIN(E$8,M355),$C355-((H355-MIN(C$8,G355))+(K355-MIN(D$8,J355)))))</f>
        <v/>
      </c>
      <c r="O355" s="23">
        <f>ROUND(M355-N355,2)</f>
        <v/>
      </c>
      <c r="P355" s="23">
        <f>ROUND(R354*(1+F$7/12),2)</f>
        <v/>
      </c>
      <c r="Q355" s="23">
        <f>MIN(F$8,P355)+MAX(0,MIN(P355-MIN(F$8,P355),$C355-((H355-MIN(C$8,G355))+(K355-MIN(D$8,J355))+(N355-MIN(E$8,M355)))))</f>
        <v/>
      </c>
      <c r="R355" s="23">
        <f>ROUND(P355-Q355,2)</f>
        <v/>
      </c>
      <c r="S355" s="23">
        <f>ROUND(U354*(1+G$7/12),2)</f>
        <v/>
      </c>
      <c r="T355" s="23">
        <f>MIN(G$8,S355)+MAX(0,MIN(S355-MIN(G$8,S355),$C355-((H355-MIN(C$8,G355))+(K355-MIN(D$8,J355))+(N355-MIN(E$8,M355))+(Q355-MIN(F$8,P355)))))</f>
        <v/>
      </c>
      <c r="U355" s="23">
        <f>ROUND(S355-T355,2)</f>
        <v/>
      </c>
    </row>
    <row r="356">
      <c r="A356" t="n">
        <v>345</v>
      </c>
      <c r="B356" s="22">
        <f>EDATE(Debts!$B$5,344)</f>
        <v/>
      </c>
      <c r="C356" s="23">
        <f>MAX(0,Debts!$B$6-(MIN(C$8,G356)+MIN(D$8,J356)+MIN(E$8,M356)+MIN(F$8,P356)+MIN(G$8,S356)))</f>
        <v/>
      </c>
      <c r="D356" s="23">
        <f>H356+K356+N356+Q356+T356</f>
        <v/>
      </c>
      <c r="E356" s="23">
        <f>I356+L356+O356+R356+U356</f>
        <v/>
      </c>
      <c r="F356" s="23" t="n"/>
      <c r="G356" s="23">
        <f>ROUND(I355*(1+C$7/12),2)</f>
        <v/>
      </c>
      <c r="H356" s="23">
        <f>MIN(C$8,G356)+MAX(0,MIN(G356-MIN(C$8,G356),$C356-(0)))</f>
        <v/>
      </c>
      <c r="I356" s="23">
        <f>ROUND(G356-H356,2)</f>
        <v/>
      </c>
      <c r="J356" s="23">
        <f>ROUND(L355*(1+D$7/12),2)</f>
        <v/>
      </c>
      <c r="K356" s="23">
        <f>MIN(D$8,J356)+MAX(0,MIN(J356-MIN(D$8,J356),$C356-((H356-MIN(C$8,G356)))))</f>
        <v/>
      </c>
      <c r="L356" s="23">
        <f>ROUND(J356-K356,2)</f>
        <v/>
      </c>
      <c r="M356" s="23">
        <f>ROUND(O355*(1+E$7/12),2)</f>
        <v/>
      </c>
      <c r="N356" s="23">
        <f>MIN(E$8,M356)+MAX(0,MIN(M356-MIN(E$8,M356),$C356-((H356-MIN(C$8,G356))+(K356-MIN(D$8,J356)))))</f>
        <v/>
      </c>
      <c r="O356" s="23">
        <f>ROUND(M356-N356,2)</f>
        <v/>
      </c>
      <c r="P356" s="23">
        <f>ROUND(R355*(1+F$7/12),2)</f>
        <v/>
      </c>
      <c r="Q356" s="23">
        <f>MIN(F$8,P356)+MAX(0,MIN(P356-MIN(F$8,P356),$C356-((H356-MIN(C$8,G356))+(K356-MIN(D$8,J356))+(N356-MIN(E$8,M356)))))</f>
        <v/>
      </c>
      <c r="R356" s="23">
        <f>ROUND(P356-Q356,2)</f>
        <v/>
      </c>
      <c r="S356" s="23">
        <f>ROUND(U355*(1+G$7/12),2)</f>
        <v/>
      </c>
      <c r="T356" s="23">
        <f>MIN(G$8,S356)+MAX(0,MIN(S356-MIN(G$8,S356),$C356-((H356-MIN(C$8,G356))+(K356-MIN(D$8,J356))+(N356-MIN(E$8,M356))+(Q356-MIN(F$8,P356)))))</f>
        <v/>
      </c>
      <c r="U356" s="23">
        <f>ROUND(S356-T356,2)</f>
        <v/>
      </c>
    </row>
    <row r="357">
      <c r="A357" t="n">
        <v>346</v>
      </c>
      <c r="B357" s="22">
        <f>EDATE(Debts!$B$5,345)</f>
        <v/>
      </c>
      <c r="C357" s="23">
        <f>MAX(0,Debts!$B$6-(MIN(C$8,G357)+MIN(D$8,J357)+MIN(E$8,M357)+MIN(F$8,P357)+MIN(G$8,S357)))</f>
        <v/>
      </c>
      <c r="D357" s="23">
        <f>H357+K357+N357+Q357+T357</f>
        <v/>
      </c>
      <c r="E357" s="23">
        <f>I357+L357+O357+R357+U357</f>
        <v/>
      </c>
      <c r="F357" s="23" t="n"/>
      <c r="G357" s="23">
        <f>ROUND(I356*(1+C$7/12),2)</f>
        <v/>
      </c>
      <c r="H357" s="23">
        <f>MIN(C$8,G357)+MAX(0,MIN(G357-MIN(C$8,G357),$C357-(0)))</f>
        <v/>
      </c>
      <c r="I357" s="23">
        <f>ROUND(G357-H357,2)</f>
        <v/>
      </c>
      <c r="J357" s="23">
        <f>ROUND(L356*(1+D$7/12),2)</f>
        <v/>
      </c>
      <c r="K357" s="23">
        <f>MIN(D$8,J357)+MAX(0,MIN(J357-MIN(D$8,J357),$C357-((H357-MIN(C$8,G357)))))</f>
        <v/>
      </c>
      <c r="L357" s="23">
        <f>ROUND(J357-K357,2)</f>
        <v/>
      </c>
      <c r="M357" s="23">
        <f>ROUND(O356*(1+E$7/12),2)</f>
        <v/>
      </c>
      <c r="N357" s="23">
        <f>MIN(E$8,M357)+MAX(0,MIN(M357-MIN(E$8,M357),$C357-((H357-MIN(C$8,G357))+(K357-MIN(D$8,J357)))))</f>
        <v/>
      </c>
      <c r="O357" s="23">
        <f>ROUND(M357-N357,2)</f>
        <v/>
      </c>
      <c r="P357" s="23">
        <f>ROUND(R356*(1+F$7/12),2)</f>
        <v/>
      </c>
      <c r="Q357" s="23">
        <f>MIN(F$8,P357)+MAX(0,MIN(P357-MIN(F$8,P357),$C357-((H357-MIN(C$8,G357))+(K357-MIN(D$8,J357))+(N357-MIN(E$8,M357)))))</f>
        <v/>
      </c>
      <c r="R357" s="23">
        <f>ROUND(P357-Q357,2)</f>
        <v/>
      </c>
      <c r="S357" s="23">
        <f>ROUND(U356*(1+G$7/12),2)</f>
        <v/>
      </c>
      <c r="T357" s="23">
        <f>MIN(G$8,S357)+MAX(0,MIN(S357-MIN(G$8,S357),$C357-((H357-MIN(C$8,G357))+(K357-MIN(D$8,J357))+(N357-MIN(E$8,M357))+(Q357-MIN(F$8,P357)))))</f>
        <v/>
      </c>
      <c r="U357" s="23">
        <f>ROUND(S357-T357,2)</f>
        <v/>
      </c>
    </row>
    <row r="358">
      <c r="A358" t="n">
        <v>347</v>
      </c>
      <c r="B358" s="22">
        <f>EDATE(Debts!$B$5,346)</f>
        <v/>
      </c>
      <c r="C358" s="23">
        <f>MAX(0,Debts!$B$6-(MIN(C$8,G358)+MIN(D$8,J358)+MIN(E$8,M358)+MIN(F$8,P358)+MIN(G$8,S358)))</f>
        <v/>
      </c>
      <c r="D358" s="23">
        <f>H358+K358+N358+Q358+T358</f>
        <v/>
      </c>
      <c r="E358" s="23">
        <f>I358+L358+O358+R358+U358</f>
        <v/>
      </c>
      <c r="F358" s="23" t="n"/>
      <c r="G358" s="23">
        <f>ROUND(I357*(1+C$7/12),2)</f>
        <v/>
      </c>
      <c r="H358" s="23">
        <f>MIN(C$8,G358)+MAX(0,MIN(G358-MIN(C$8,G358),$C358-(0)))</f>
        <v/>
      </c>
      <c r="I358" s="23">
        <f>ROUND(G358-H358,2)</f>
        <v/>
      </c>
      <c r="J358" s="23">
        <f>ROUND(L357*(1+D$7/12),2)</f>
        <v/>
      </c>
      <c r="K358" s="23">
        <f>MIN(D$8,J358)+MAX(0,MIN(J358-MIN(D$8,J358),$C358-((H358-MIN(C$8,G358)))))</f>
        <v/>
      </c>
      <c r="L358" s="23">
        <f>ROUND(J358-K358,2)</f>
        <v/>
      </c>
      <c r="M358" s="23">
        <f>ROUND(O357*(1+E$7/12),2)</f>
        <v/>
      </c>
      <c r="N358" s="23">
        <f>MIN(E$8,M358)+MAX(0,MIN(M358-MIN(E$8,M358),$C358-((H358-MIN(C$8,G358))+(K358-MIN(D$8,J358)))))</f>
        <v/>
      </c>
      <c r="O358" s="23">
        <f>ROUND(M358-N358,2)</f>
        <v/>
      </c>
      <c r="P358" s="23">
        <f>ROUND(R357*(1+F$7/12),2)</f>
        <v/>
      </c>
      <c r="Q358" s="23">
        <f>MIN(F$8,P358)+MAX(0,MIN(P358-MIN(F$8,P358),$C358-((H358-MIN(C$8,G358))+(K358-MIN(D$8,J358))+(N358-MIN(E$8,M358)))))</f>
        <v/>
      </c>
      <c r="R358" s="23">
        <f>ROUND(P358-Q358,2)</f>
        <v/>
      </c>
      <c r="S358" s="23">
        <f>ROUND(U357*(1+G$7/12),2)</f>
        <v/>
      </c>
      <c r="T358" s="23">
        <f>MIN(G$8,S358)+MAX(0,MIN(S358-MIN(G$8,S358),$C358-((H358-MIN(C$8,G358))+(K358-MIN(D$8,J358))+(N358-MIN(E$8,M358))+(Q358-MIN(F$8,P358)))))</f>
        <v/>
      </c>
      <c r="U358" s="23">
        <f>ROUND(S358-T358,2)</f>
        <v/>
      </c>
    </row>
    <row r="359">
      <c r="A359" t="n">
        <v>348</v>
      </c>
      <c r="B359" s="22">
        <f>EDATE(Debts!$B$5,347)</f>
        <v/>
      </c>
      <c r="C359" s="23">
        <f>MAX(0,Debts!$B$6-(MIN(C$8,G359)+MIN(D$8,J359)+MIN(E$8,M359)+MIN(F$8,P359)+MIN(G$8,S359)))</f>
        <v/>
      </c>
      <c r="D359" s="23">
        <f>H359+K359+N359+Q359+T359</f>
        <v/>
      </c>
      <c r="E359" s="23">
        <f>I359+L359+O359+R359+U359</f>
        <v/>
      </c>
      <c r="F359" s="23" t="n"/>
      <c r="G359" s="23">
        <f>ROUND(I358*(1+C$7/12),2)</f>
        <v/>
      </c>
      <c r="H359" s="23">
        <f>MIN(C$8,G359)+MAX(0,MIN(G359-MIN(C$8,G359),$C359-(0)))</f>
        <v/>
      </c>
      <c r="I359" s="23">
        <f>ROUND(G359-H359,2)</f>
        <v/>
      </c>
      <c r="J359" s="23">
        <f>ROUND(L358*(1+D$7/12),2)</f>
        <v/>
      </c>
      <c r="K359" s="23">
        <f>MIN(D$8,J359)+MAX(0,MIN(J359-MIN(D$8,J359),$C359-((H359-MIN(C$8,G359)))))</f>
        <v/>
      </c>
      <c r="L359" s="23">
        <f>ROUND(J359-K359,2)</f>
        <v/>
      </c>
      <c r="M359" s="23">
        <f>ROUND(O358*(1+E$7/12),2)</f>
        <v/>
      </c>
      <c r="N359" s="23">
        <f>MIN(E$8,M359)+MAX(0,MIN(M359-MIN(E$8,M359),$C359-((H359-MIN(C$8,G359))+(K359-MIN(D$8,J359)))))</f>
        <v/>
      </c>
      <c r="O359" s="23">
        <f>ROUND(M359-N359,2)</f>
        <v/>
      </c>
      <c r="P359" s="23">
        <f>ROUND(R358*(1+F$7/12),2)</f>
        <v/>
      </c>
      <c r="Q359" s="23">
        <f>MIN(F$8,P359)+MAX(0,MIN(P359-MIN(F$8,P359),$C359-((H359-MIN(C$8,G359))+(K359-MIN(D$8,J359))+(N359-MIN(E$8,M359)))))</f>
        <v/>
      </c>
      <c r="R359" s="23">
        <f>ROUND(P359-Q359,2)</f>
        <v/>
      </c>
      <c r="S359" s="23">
        <f>ROUND(U358*(1+G$7/12),2)</f>
        <v/>
      </c>
      <c r="T359" s="23">
        <f>MIN(G$8,S359)+MAX(0,MIN(S359-MIN(G$8,S359),$C359-((H359-MIN(C$8,G359))+(K359-MIN(D$8,J359))+(N359-MIN(E$8,M359))+(Q359-MIN(F$8,P359)))))</f>
        <v/>
      </c>
      <c r="U359" s="23">
        <f>ROUND(S359-T359,2)</f>
        <v/>
      </c>
    </row>
    <row r="360">
      <c r="A360" t="n">
        <v>349</v>
      </c>
      <c r="B360" s="22">
        <f>EDATE(Debts!$B$5,348)</f>
        <v/>
      </c>
      <c r="C360" s="23">
        <f>MAX(0,Debts!$B$6-(MIN(C$8,G360)+MIN(D$8,J360)+MIN(E$8,M360)+MIN(F$8,P360)+MIN(G$8,S360)))</f>
        <v/>
      </c>
      <c r="D360" s="23">
        <f>H360+K360+N360+Q360+T360</f>
        <v/>
      </c>
      <c r="E360" s="23">
        <f>I360+L360+O360+R360+U360</f>
        <v/>
      </c>
      <c r="F360" s="23" t="n"/>
      <c r="G360" s="23">
        <f>ROUND(I359*(1+C$7/12),2)</f>
        <v/>
      </c>
      <c r="H360" s="23">
        <f>MIN(C$8,G360)+MAX(0,MIN(G360-MIN(C$8,G360),$C360-(0)))</f>
        <v/>
      </c>
      <c r="I360" s="23">
        <f>ROUND(G360-H360,2)</f>
        <v/>
      </c>
      <c r="J360" s="23">
        <f>ROUND(L359*(1+D$7/12),2)</f>
        <v/>
      </c>
      <c r="K360" s="23">
        <f>MIN(D$8,J360)+MAX(0,MIN(J360-MIN(D$8,J360),$C360-((H360-MIN(C$8,G360)))))</f>
        <v/>
      </c>
      <c r="L360" s="23">
        <f>ROUND(J360-K360,2)</f>
        <v/>
      </c>
      <c r="M360" s="23">
        <f>ROUND(O359*(1+E$7/12),2)</f>
        <v/>
      </c>
      <c r="N360" s="23">
        <f>MIN(E$8,M360)+MAX(0,MIN(M360-MIN(E$8,M360),$C360-((H360-MIN(C$8,G360))+(K360-MIN(D$8,J360)))))</f>
        <v/>
      </c>
      <c r="O360" s="23">
        <f>ROUND(M360-N360,2)</f>
        <v/>
      </c>
      <c r="P360" s="23">
        <f>ROUND(R359*(1+F$7/12),2)</f>
        <v/>
      </c>
      <c r="Q360" s="23">
        <f>MIN(F$8,P360)+MAX(0,MIN(P360-MIN(F$8,P360),$C360-((H360-MIN(C$8,G360))+(K360-MIN(D$8,J360))+(N360-MIN(E$8,M360)))))</f>
        <v/>
      </c>
      <c r="R360" s="23">
        <f>ROUND(P360-Q360,2)</f>
        <v/>
      </c>
      <c r="S360" s="23">
        <f>ROUND(U359*(1+G$7/12),2)</f>
        <v/>
      </c>
      <c r="T360" s="23">
        <f>MIN(G$8,S360)+MAX(0,MIN(S360-MIN(G$8,S360),$C360-((H360-MIN(C$8,G360))+(K360-MIN(D$8,J360))+(N360-MIN(E$8,M360))+(Q360-MIN(F$8,P360)))))</f>
        <v/>
      </c>
      <c r="U360" s="23">
        <f>ROUND(S360-T360,2)</f>
        <v/>
      </c>
    </row>
    <row r="361">
      <c r="A361" t="n">
        <v>350</v>
      </c>
      <c r="B361" s="22">
        <f>EDATE(Debts!$B$5,349)</f>
        <v/>
      </c>
      <c r="C361" s="23">
        <f>MAX(0,Debts!$B$6-(MIN(C$8,G361)+MIN(D$8,J361)+MIN(E$8,M361)+MIN(F$8,P361)+MIN(G$8,S361)))</f>
        <v/>
      </c>
      <c r="D361" s="23">
        <f>H361+K361+N361+Q361+T361</f>
        <v/>
      </c>
      <c r="E361" s="23">
        <f>I361+L361+O361+R361+U361</f>
        <v/>
      </c>
      <c r="F361" s="23" t="n"/>
      <c r="G361" s="23">
        <f>ROUND(I360*(1+C$7/12),2)</f>
        <v/>
      </c>
      <c r="H361" s="23">
        <f>MIN(C$8,G361)+MAX(0,MIN(G361-MIN(C$8,G361),$C361-(0)))</f>
        <v/>
      </c>
      <c r="I361" s="23">
        <f>ROUND(G361-H361,2)</f>
        <v/>
      </c>
      <c r="J361" s="23">
        <f>ROUND(L360*(1+D$7/12),2)</f>
        <v/>
      </c>
      <c r="K361" s="23">
        <f>MIN(D$8,J361)+MAX(0,MIN(J361-MIN(D$8,J361),$C361-((H361-MIN(C$8,G361)))))</f>
        <v/>
      </c>
      <c r="L361" s="23">
        <f>ROUND(J361-K361,2)</f>
        <v/>
      </c>
      <c r="M361" s="23">
        <f>ROUND(O360*(1+E$7/12),2)</f>
        <v/>
      </c>
      <c r="N361" s="23">
        <f>MIN(E$8,M361)+MAX(0,MIN(M361-MIN(E$8,M361),$C361-((H361-MIN(C$8,G361))+(K361-MIN(D$8,J361)))))</f>
        <v/>
      </c>
      <c r="O361" s="23">
        <f>ROUND(M361-N361,2)</f>
        <v/>
      </c>
      <c r="P361" s="23">
        <f>ROUND(R360*(1+F$7/12),2)</f>
        <v/>
      </c>
      <c r="Q361" s="23">
        <f>MIN(F$8,P361)+MAX(0,MIN(P361-MIN(F$8,P361),$C361-((H361-MIN(C$8,G361))+(K361-MIN(D$8,J361))+(N361-MIN(E$8,M361)))))</f>
        <v/>
      </c>
      <c r="R361" s="23">
        <f>ROUND(P361-Q361,2)</f>
        <v/>
      </c>
      <c r="S361" s="23">
        <f>ROUND(U360*(1+G$7/12),2)</f>
        <v/>
      </c>
      <c r="T361" s="23">
        <f>MIN(G$8,S361)+MAX(0,MIN(S361-MIN(G$8,S361),$C361-((H361-MIN(C$8,G361))+(K361-MIN(D$8,J361))+(N361-MIN(E$8,M361))+(Q361-MIN(F$8,P361)))))</f>
        <v/>
      </c>
      <c r="U361" s="23">
        <f>ROUND(S361-T361,2)</f>
        <v/>
      </c>
    </row>
    <row r="362">
      <c r="A362" t="n">
        <v>351</v>
      </c>
      <c r="B362" s="22">
        <f>EDATE(Debts!$B$5,350)</f>
        <v/>
      </c>
      <c r="C362" s="23">
        <f>MAX(0,Debts!$B$6-(MIN(C$8,G362)+MIN(D$8,J362)+MIN(E$8,M362)+MIN(F$8,P362)+MIN(G$8,S362)))</f>
        <v/>
      </c>
      <c r="D362" s="23">
        <f>H362+K362+N362+Q362+T362</f>
        <v/>
      </c>
      <c r="E362" s="23">
        <f>I362+L362+O362+R362+U362</f>
        <v/>
      </c>
      <c r="F362" s="23" t="n"/>
      <c r="G362" s="23">
        <f>ROUND(I361*(1+C$7/12),2)</f>
        <v/>
      </c>
      <c r="H362" s="23">
        <f>MIN(C$8,G362)+MAX(0,MIN(G362-MIN(C$8,G362),$C362-(0)))</f>
        <v/>
      </c>
      <c r="I362" s="23">
        <f>ROUND(G362-H362,2)</f>
        <v/>
      </c>
      <c r="J362" s="23">
        <f>ROUND(L361*(1+D$7/12),2)</f>
        <v/>
      </c>
      <c r="K362" s="23">
        <f>MIN(D$8,J362)+MAX(0,MIN(J362-MIN(D$8,J362),$C362-((H362-MIN(C$8,G362)))))</f>
        <v/>
      </c>
      <c r="L362" s="23">
        <f>ROUND(J362-K362,2)</f>
        <v/>
      </c>
      <c r="M362" s="23">
        <f>ROUND(O361*(1+E$7/12),2)</f>
        <v/>
      </c>
      <c r="N362" s="23">
        <f>MIN(E$8,M362)+MAX(0,MIN(M362-MIN(E$8,M362),$C362-((H362-MIN(C$8,G362))+(K362-MIN(D$8,J362)))))</f>
        <v/>
      </c>
      <c r="O362" s="23">
        <f>ROUND(M362-N362,2)</f>
        <v/>
      </c>
      <c r="P362" s="23">
        <f>ROUND(R361*(1+F$7/12),2)</f>
        <v/>
      </c>
      <c r="Q362" s="23">
        <f>MIN(F$8,P362)+MAX(0,MIN(P362-MIN(F$8,P362),$C362-((H362-MIN(C$8,G362))+(K362-MIN(D$8,J362))+(N362-MIN(E$8,M362)))))</f>
        <v/>
      </c>
      <c r="R362" s="23">
        <f>ROUND(P362-Q362,2)</f>
        <v/>
      </c>
      <c r="S362" s="23">
        <f>ROUND(U361*(1+G$7/12),2)</f>
        <v/>
      </c>
      <c r="T362" s="23">
        <f>MIN(G$8,S362)+MAX(0,MIN(S362-MIN(G$8,S362),$C362-((H362-MIN(C$8,G362))+(K362-MIN(D$8,J362))+(N362-MIN(E$8,M362))+(Q362-MIN(F$8,P362)))))</f>
        <v/>
      </c>
      <c r="U362" s="23">
        <f>ROUND(S362-T362,2)</f>
        <v/>
      </c>
    </row>
    <row r="363">
      <c r="A363" t="n">
        <v>352</v>
      </c>
      <c r="B363" s="22">
        <f>EDATE(Debts!$B$5,351)</f>
        <v/>
      </c>
      <c r="C363" s="23">
        <f>MAX(0,Debts!$B$6-(MIN(C$8,G363)+MIN(D$8,J363)+MIN(E$8,M363)+MIN(F$8,P363)+MIN(G$8,S363)))</f>
        <v/>
      </c>
      <c r="D363" s="23">
        <f>H363+K363+N363+Q363+T363</f>
        <v/>
      </c>
      <c r="E363" s="23">
        <f>I363+L363+O363+R363+U363</f>
        <v/>
      </c>
      <c r="F363" s="23" t="n"/>
      <c r="G363" s="23">
        <f>ROUND(I362*(1+C$7/12),2)</f>
        <v/>
      </c>
      <c r="H363" s="23">
        <f>MIN(C$8,G363)+MAX(0,MIN(G363-MIN(C$8,G363),$C363-(0)))</f>
        <v/>
      </c>
      <c r="I363" s="23">
        <f>ROUND(G363-H363,2)</f>
        <v/>
      </c>
      <c r="J363" s="23">
        <f>ROUND(L362*(1+D$7/12),2)</f>
        <v/>
      </c>
      <c r="K363" s="23">
        <f>MIN(D$8,J363)+MAX(0,MIN(J363-MIN(D$8,J363),$C363-((H363-MIN(C$8,G363)))))</f>
        <v/>
      </c>
      <c r="L363" s="23">
        <f>ROUND(J363-K363,2)</f>
        <v/>
      </c>
      <c r="M363" s="23">
        <f>ROUND(O362*(1+E$7/12),2)</f>
        <v/>
      </c>
      <c r="N363" s="23">
        <f>MIN(E$8,M363)+MAX(0,MIN(M363-MIN(E$8,M363),$C363-((H363-MIN(C$8,G363))+(K363-MIN(D$8,J363)))))</f>
        <v/>
      </c>
      <c r="O363" s="23">
        <f>ROUND(M363-N363,2)</f>
        <v/>
      </c>
      <c r="P363" s="23">
        <f>ROUND(R362*(1+F$7/12),2)</f>
        <v/>
      </c>
      <c r="Q363" s="23">
        <f>MIN(F$8,P363)+MAX(0,MIN(P363-MIN(F$8,P363),$C363-((H363-MIN(C$8,G363))+(K363-MIN(D$8,J363))+(N363-MIN(E$8,M363)))))</f>
        <v/>
      </c>
      <c r="R363" s="23">
        <f>ROUND(P363-Q363,2)</f>
        <v/>
      </c>
      <c r="S363" s="23">
        <f>ROUND(U362*(1+G$7/12),2)</f>
        <v/>
      </c>
      <c r="T363" s="23">
        <f>MIN(G$8,S363)+MAX(0,MIN(S363-MIN(G$8,S363),$C363-((H363-MIN(C$8,G363))+(K363-MIN(D$8,J363))+(N363-MIN(E$8,M363))+(Q363-MIN(F$8,P363)))))</f>
        <v/>
      </c>
      <c r="U363" s="23">
        <f>ROUND(S363-T363,2)</f>
        <v/>
      </c>
    </row>
    <row r="364">
      <c r="A364" t="n">
        <v>353</v>
      </c>
      <c r="B364" s="22">
        <f>EDATE(Debts!$B$5,352)</f>
        <v/>
      </c>
      <c r="C364" s="23">
        <f>MAX(0,Debts!$B$6-(MIN(C$8,G364)+MIN(D$8,J364)+MIN(E$8,M364)+MIN(F$8,P364)+MIN(G$8,S364)))</f>
        <v/>
      </c>
      <c r="D364" s="23">
        <f>H364+K364+N364+Q364+T364</f>
        <v/>
      </c>
      <c r="E364" s="23">
        <f>I364+L364+O364+R364+U364</f>
        <v/>
      </c>
      <c r="F364" s="23" t="n"/>
      <c r="G364" s="23">
        <f>ROUND(I363*(1+C$7/12),2)</f>
        <v/>
      </c>
      <c r="H364" s="23">
        <f>MIN(C$8,G364)+MAX(0,MIN(G364-MIN(C$8,G364),$C364-(0)))</f>
        <v/>
      </c>
      <c r="I364" s="23">
        <f>ROUND(G364-H364,2)</f>
        <v/>
      </c>
      <c r="J364" s="23">
        <f>ROUND(L363*(1+D$7/12),2)</f>
        <v/>
      </c>
      <c r="K364" s="23">
        <f>MIN(D$8,J364)+MAX(0,MIN(J364-MIN(D$8,J364),$C364-((H364-MIN(C$8,G364)))))</f>
        <v/>
      </c>
      <c r="L364" s="23">
        <f>ROUND(J364-K364,2)</f>
        <v/>
      </c>
      <c r="M364" s="23">
        <f>ROUND(O363*(1+E$7/12),2)</f>
        <v/>
      </c>
      <c r="N364" s="23">
        <f>MIN(E$8,M364)+MAX(0,MIN(M364-MIN(E$8,M364),$C364-((H364-MIN(C$8,G364))+(K364-MIN(D$8,J364)))))</f>
        <v/>
      </c>
      <c r="O364" s="23">
        <f>ROUND(M364-N364,2)</f>
        <v/>
      </c>
      <c r="P364" s="23">
        <f>ROUND(R363*(1+F$7/12),2)</f>
        <v/>
      </c>
      <c r="Q364" s="23">
        <f>MIN(F$8,P364)+MAX(0,MIN(P364-MIN(F$8,P364),$C364-((H364-MIN(C$8,G364))+(K364-MIN(D$8,J364))+(N364-MIN(E$8,M364)))))</f>
        <v/>
      </c>
      <c r="R364" s="23">
        <f>ROUND(P364-Q364,2)</f>
        <v/>
      </c>
      <c r="S364" s="23">
        <f>ROUND(U363*(1+G$7/12),2)</f>
        <v/>
      </c>
      <c r="T364" s="23">
        <f>MIN(G$8,S364)+MAX(0,MIN(S364-MIN(G$8,S364),$C364-((H364-MIN(C$8,G364))+(K364-MIN(D$8,J364))+(N364-MIN(E$8,M364))+(Q364-MIN(F$8,P364)))))</f>
        <v/>
      </c>
      <c r="U364" s="23">
        <f>ROUND(S364-T364,2)</f>
        <v/>
      </c>
    </row>
    <row r="365">
      <c r="A365" t="n">
        <v>354</v>
      </c>
      <c r="B365" s="22">
        <f>EDATE(Debts!$B$5,353)</f>
        <v/>
      </c>
      <c r="C365" s="23">
        <f>MAX(0,Debts!$B$6-(MIN(C$8,G365)+MIN(D$8,J365)+MIN(E$8,M365)+MIN(F$8,P365)+MIN(G$8,S365)))</f>
        <v/>
      </c>
      <c r="D365" s="23">
        <f>H365+K365+N365+Q365+T365</f>
        <v/>
      </c>
      <c r="E365" s="23">
        <f>I365+L365+O365+R365+U365</f>
        <v/>
      </c>
      <c r="F365" s="23" t="n"/>
      <c r="G365" s="23">
        <f>ROUND(I364*(1+C$7/12),2)</f>
        <v/>
      </c>
      <c r="H365" s="23">
        <f>MIN(C$8,G365)+MAX(0,MIN(G365-MIN(C$8,G365),$C365-(0)))</f>
        <v/>
      </c>
      <c r="I365" s="23">
        <f>ROUND(G365-H365,2)</f>
        <v/>
      </c>
      <c r="J365" s="23">
        <f>ROUND(L364*(1+D$7/12),2)</f>
        <v/>
      </c>
      <c r="K365" s="23">
        <f>MIN(D$8,J365)+MAX(0,MIN(J365-MIN(D$8,J365),$C365-((H365-MIN(C$8,G365)))))</f>
        <v/>
      </c>
      <c r="L365" s="23">
        <f>ROUND(J365-K365,2)</f>
        <v/>
      </c>
      <c r="M365" s="23">
        <f>ROUND(O364*(1+E$7/12),2)</f>
        <v/>
      </c>
      <c r="N365" s="23">
        <f>MIN(E$8,M365)+MAX(0,MIN(M365-MIN(E$8,M365),$C365-((H365-MIN(C$8,G365))+(K365-MIN(D$8,J365)))))</f>
        <v/>
      </c>
      <c r="O365" s="23">
        <f>ROUND(M365-N365,2)</f>
        <v/>
      </c>
      <c r="P365" s="23">
        <f>ROUND(R364*(1+F$7/12),2)</f>
        <v/>
      </c>
      <c r="Q365" s="23">
        <f>MIN(F$8,P365)+MAX(0,MIN(P365-MIN(F$8,P365),$C365-((H365-MIN(C$8,G365))+(K365-MIN(D$8,J365))+(N365-MIN(E$8,M365)))))</f>
        <v/>
      </c>
      <c r="R365" s="23">
        <f>ROUND(P365-Q365,2)</f>
        <v/>
      </c>
      <c r="S365" s="23">
        <f>ROUND(U364*(1+G$7/12),2)</f>
        <v/>
      </c>
      <c r="T365" s="23">
        <f>MIN(G$8,S365)+MAX(0,MIN(S365-MIN(G$8,S365),$C365-((H365-MIN(C$8,G365))+(K365-MIN(D$8,J365))+(N365-MIN(E$8,M365))+(Q365-MIN(F$8,P365)))))</f>
        <v/>
      </c>
      <c r="U365" s="23">
        <f>ROUND(S365-T365,2)</f>
        <v/>
      </c>
    </row>
    <row r="366">
      <c r="A366" t="n">
        <v>355</v>
      </c>
      <c r="B366" s="22">
        <f>EDATE(Debts!$B$5,354)</f>
        <v/>
      </c>
      <c r="C366" s="23">
        <f>MAX(0,Debts!$B$6-(MIN(C$8,G366)+MIN(D$8,J366)+MIN(E$8,M366)+MIN(F$8,P366)+MIN(G$8,S366)))</f>
        <v/>
      </c>
      <c r="D366" s="23">
        <f>H366+K366+N366+Q366+T366</f>
        <v/>
      </c>
      <c r="E366" s="23">
        <f>I366+L366+O366+R366+U366</f>
        <v/>
      </c>
      <c r="F366" s="23" t="n"/>
      <c r="G366" s="23">
        <f>ROUND(I365*(1+C$7/12),2)</f>
        <v/>
      </c>
      <c r="H366" s="23">
        <f>MIN(C$8,G366)+MAX(0,MIN(G366-MIN(C$8,G366),$C366-(0)))</f>
        <v/>
      </c>
      <c r="I366" s="23">
        <f>ROUND(G366-H366,2)</f>
        <v/>
      </c>
      <c r="J366" s="23">
        <f>ROUND(L365*(1+D$7/12),2)</f>
        <v/>
      </c>
      <c r="K366" s="23">
        <f>MIN(D$8,J366)+MAX(0,MIN(J366-MIN(D$8,J366),$C366-((H366-MIN(C$8,G366)))))</f>
        <v/>
      </c>
      <c r="L366" s="23">
        <f>ROUND(J366-K366,2)</f>
        <v/>
      </c>
      <c r="M366" s="23">
        <f>ROUND(O365*(1+E$7/12),2)</f>
        <v/>
      </c>
      <c r="N366" s="23">
        <f>MIN(E$8,M366)+MAX(0,MIN(M366-MIN(E$8,M366),$C366-((H366-MIN(C$8,G366))+(K366-MIN(D$8,J366)))))</f>
        <v/>
      </c>
      <c r="O366" s="23">
        <f>ROUND(M366-N366,2)</f>
        <v/>
      </c>
      <c r="P366" s="23">
        <f>ROUND(R365*(1+F$7/12),2)</f>
        <v/>
      </c>
      <c r="Q366" s="23">
        <f>MIN(F$8,P366)+MAX(0,MIN(P366-MIN(F$8,P366),$C366-((H366-MIN(C$8,G366))+(K366-MIN(D$8,J366))+(N366-MIN(E$8,M366)))))</f>
        <v/>
      </c>
      <c r="R366" s="23">
        <f>ROUND(P366-Q366,2)</f>
        <v/>
      </c>
      <c r="S366" s="23">
        <f>ROUND(U365*(1+G$7/12),2)</f>
        <v/>
      </c>
      <c r="T366" s="23">
        <f>MIN(G$8,S366)+MAX(0,MIN(S366-MIN(G$8,S366),$C366-((H366-MIN(C$8,G366))+(K366-MIN(D$8,J366))+(N366-MIN(E$8,M366))+(Q366-MIN(F$8,P366)))))</f>
        <v/>
      </c>
      <c r="U366" s="23">
        <f>ROUND(S366-T366,2)</f>
        <v/>
      </c>
    </row>
    <row r="367">
      <c r="A367" t="n">
        <v>356</v>
      </c>
      <c r="B367" s="22">
        <f>EDATE(Debts!$B$5,355)</f>
        <v/>
      </c>
      <c r="C367" s="23">
        <f>MAX(0,Debts!$B$6-(MIN(C$8,G367)+MIN(D$8,J367)+MIN(E$8,M367)+MIN(F$8,P367)+MIN(G$8,S367)))</f>
        <v/>
      </c>
      <c r="D367" s="23">
        <f>H367+K367+N367+Q367+T367</f>
        <v/>
      </c>
      <c r="E367" s="23">
        <f>I367+L367+O367+R367+U367</f>
        <v/>
      </c>
      <c r="F367" s="23" t="n"/>
      <c r="G367" s="23">
        <f>ROUND(I366*(1+C$7/12),2)</f>
        <v/>
      </c>
      <c r="H367" s="23">
        <f>MIN(C$8,G367)+MAX(0,MIN(G367-MIN(C$8,G367),$C367-(0)))</f>
        <v/>
      </c>
      <c r="I367" s="23">
        <f>ROUND(G367-H367,2)</f>
        <v/>
      </c>
      <c r="J367" s="23">
        <f>ROUND(L366*(1+D$7/12),2)</f>
        <v/>
      </c>
      <c r="K367" s="23">
        <f>MIN(D$8,J367)+MAX(0,MIN(J367-MIN(D$8,J367),$C367-((H367-MIN(C$8,G367)))))</f>
        <v/>
      </c>
      <c r="L367" s="23">
        <f>ROUND(J367-K367,2)</f>
        <v/>
      </c>
      <c r="M367" s="23">
        <f>ROUND(O366*(1+E$7/12),2)</f>
        <v/>
      </c>
      <c r="N367" s="23">
        <f>MIN(E$8,M367)+MAX(0,MIN(M367-MIN(E$8,M367),$C367-((H367-MIN(C$8,G367))+(K367-MIN(D$8,J367)))))</f>
        <v/>
      </c>
      <c r="O367" s="23">
        <f>ROUND(M367-N367,2)</f>
        <v/>
      </c>
      <c r="P367" s="23">
        <f>ROUND(R366*(1+F$7/12),2)</f>
        <v/>
      </c>
      <c r="Q367" s="23">
        <f>MIN(F$8,P367)+MAX(0,MIN(P367-MIN(F$8,P367),$C367-((H367-MIN(C$8,G367))+(K367-MIN(D$8,J367))+(N367-MIN(E$8,M367)))))</f>
        <v/>
      </c>
      <c r="R367" s="23">
        <f>ROUND(P367-Q367,2)</f>
        <v/>
      </c>
      <c r="S367" s="23">
        <f>ROUND(U366*(1+G$7/12),2)</f>
        <v/>
      </c>
      <c r="T367" s="23">
        <f>MIN(G$8,S367)+MAX(0,MIN(S367-MIN(G$8,S367),$C367-((H367-MIN(C$8,G367))+(K367-MIN(D$8,J367))+(N367-MIN(E$8,M367))+(Q367-MIN(F$8,P367)))))</f>
        <v/>
      </c>
      <c r="U367" s="23">
        <f>ROUND(S367-T367,2)</f>
        <v/>
      </c>
    </row>
    <row r="368">
      <c r="A368" t="n">
        <v>357</v>
      </c>
      <c r="B368" s="22">
        <f>EDATE(Debts!$B$5,356)</f>
        <v/>
      </c>
      <c r="C368" s="23">
        <f>MAX(0,Debts!$B$6-(MIN(C$8,G368)+MIN(D$8,J368)+MIN(E$8,M368)+MIN(F$8,P368)+MIN(G$8,S368)))</f>
        <v/>
      </c>
      <c r="D368" s="23">
        <f>H368+K368+N368+Q368+T368</f>
        <v/>
      </c>
      <c r="E368" s="23">
        <f>I368+L368+O368+R368+U368</f>
        <v/>
      </c>
      <c r="F368" s="23" t="n"/>
      <c r="G368" s="23">
        <f>ROUND(I367*(1+C$7/12),2)</f>
        <v/>
      </c>
      <c r="H368" s="23">
        <f>MIN(C$8,G368)+MAX(0,MIN(G368-MIN(C$8,G368),$C368-(0)))</f>
        <v/>
      </c>
      <c r="I368" s="23">
        <f>ROUND(G368-H368,2)</f>
        <v/>
      </c>
      <c r="J368" s="23">
        <f>ROUND(L367*(1+D$7/12),2)</f>
        <v/>
      </c>
      <c r="K368" s="23">
        <f>MIN(D$8,J368)+MAX(0,MIN(J368-MIN(D$8,J368),$C368-((H368-MIN(C$8,G368)))))</f>
        <v/>
      </c>
      <c r="L368" s="23">
        <f>ROUND(J368-K368,2)</f>
        <v/>
      </c>
      <c r="M368" s="23">
        <f>ROUND(O367*(1+E$7/12),2)</f>
        <v/>
      </c>
      <c r="N368" s="23">
        <f>MIN(E$8,M368)+MAX(0,MIN(M368-MIN(E$8,M368),$C368-((H368-MIN(C$8,G368))+(K368-MIN(D$8,J368)))))</f>
        <v/>
      </c>
      <c r="O368" s="23">
        <f>ROUND(M368-N368,2)</f>
        <v/>
      </c>
      <c r="P368" s="23">
        <f>ROUND(R367*(1+F$7/12),2)</f>
        <v/>
      </c>
      <c r="Q368" s="23">
        <f>MIN(F$8,P368)+MAX(0,MIN(P368-MIN(F$8,P368),$C368-((H368-MIN(C$8,G368))+(K368-MIN(D$8,J368))+(N368-MIN(E$8,M368)))))</f>
        <v/>
      </c>
      <c r="R368" s="23">
        <f>ROUND(P368-Q368,2)</f>
        <v/>
      </c>
      <c r="S368" s="23">
        <f>ROUND(U367*(1+G$7/12),2)</f>
        <v/>
      </c>
      <c r="T368" s="23">
        <f>MIN(G$8,S368)+MAX(0,MIN(S368-MIN(G$8,S368),$C368-((H368-MIN(C$8,G368))+(K368-MIN(D$8,J368))+(N368-MIN(E$8,M368))+(Q368-MIN(F$8,P368)))))</f>
        <v/>
      </c>
      <c r="U368" s="23">
        <f>ROUND(S368-T368,2)</f>
        <v/>
      </c>
    </row>
    <row r="369">
      <c r="A369" t="n">
        <v>358</v>
      </c>
      <c r="B369" s="22">
        <f>EDATE(Debts!$B$5,357)</f>
        <v/>
      </c>
      <c r="C369" s="23">
        <f>MAX(0,Debts!$B$6-(MIN(C$8,G369)+MIN(D$8,J369)+MIN(E$8,M369)+MIN(F$8,P369)+MIN(G$8,S369)))</f>
        <v/>
      </c>
      <c r="D369" s="23">
        <f>H369+K369+N369+Q369+T369</f>
        <v/>
      </c>
      <c r="E369" s="23">
        <f>I369+L369+O369+R369+U369</f>
        <v/>
      </c>
      <c r="F369" s="23" t="n"/>
      <c r="G369" s="23">
        <f>ROUND(I368*(1+C$7/12),2)</f>
        <v/>
      </c>
      <c r="H369" s="23">
        <f>MIN(C$8,G369)+MAX(0,MIN(G369-MIN(C$8,G369),$C369-(0)))</f>
        <v/>
      </c>
      <c r="I369" s="23">
        <f>ROUND(G369-H369,2)</f>
        <v/>
      </c>
      <c r="J369" s="23">
        <f>ROUND(L368*(1+D$7/12),2)</f>
        <v/>
      </c>
      <c r="K369" s="23">
        <f>MIN(D$8,J369)+MAX(0,MIN(J369-MIN(D$8,J369),$C369-((H369-MIN(C$8,G369)))))</f>
        <v/>
      </c>
      <c r="L369" s="23">
        <f>ROUND(J369-K369,2)</f>
        <v/>
      </c>
      <c r="M369" s="23">
        <f>ROUND(O368*(1+E$7/12),2)</f>
        <v/>
      </c>
      <c r="N369" s="23">
        <f>MIN(E$8,M369)+MAX(0,MIN(M369-MIN(E$8,M369),$C369-((H369-MIN(C$8,G369))+(K369-MIN(D$8,J369)))))</f>
        <v/>
      </c>
      <c r="O369" s="23">
        <f>ROUND(M369-N369,2)</f>
        <v/>
      </c>
      <c r="P369" s="23">
        <f>ROUND(R368*(1+F$7/12),2)</f>
        <v/>
      </c>
      <c r="Q369" s="23">
        <f>MIN(F$8,P369)+MAX(0,MIN(P369-MIN(F$8,P369),$C369-((H369-MIN(C$8,G369))+(K369-MIN(D$8,J369))+(N369-MIN(E$8,M369)))))</f>
        <v/>
      </c>
      <c r="R369" s="23">
        <f>ROUND(P369-Q369,2)</f>
        <v/>
      </c>
      <c r="S369" s="23">
        <f>ROUND(U368*(1+G$7/12),2)</f>
        <v/>
      </c>
      <c r="T369" s="23">
        <f>MIN(G$8,S369)+MAX(0,MIN(S369-MIN(G$8,S369),$C369-((H369-MIN(C$8,G369))+(K369-MIN(D$8,J369))+(N369-MIN(E$8,M369))+(Q369-MIN(F$8,P369)))))</f>
        <v/>
      </c>
      <c r="U369" s="23">
        <f>ROUND(S369-T369,2)</f>
        <v/>
      </c>
    </row>
    <row r="370">
      <c r="A370" t="n">
        <v>359</v>
      </c>
      <c r="B370" s="22">
        <f>EDATE(Debts!$B$5,358)</f>
        <v/>
      </c>
      <c r="C370" s="23">
        <f>MAX(0,Debts!$B$6-(MIN(C$8,G370)+MIN(D$8,J370)+MIN(E$8,M370)+MIN(F$8,P370)+MIN(G$8,S370)))</f>
        <v/>
      </c>
      <c r="D370" s="23">
        <f>H370+K370+N370+Q370+T370</f>
        <v/>
      </c>
      <c r="E370" s="23">
        <f>I370+L370+O370+R370+U370</f>
        <v/>
      </c>
      <c r="F370" s="23" t="n"/>
      <c r="G370" s="23">
        <f>ROUND(I369*(1+C$7/12),2)</f>
        <v/>
      </c>
      <c r="H370" s="23">
        <f>MIN(C$8,G370)+MAX(0,MIN(G370-MIN(C$8,G370),$C370-(0)))</f>
        <v/>
      </c>
      <c r="I370" s="23">
        <f>ROUND(G370-H370,2)</f>
        <v/>
      </c>
      <c r="J370" s="23">
        <f>ROUND(L369*(1+D$7/12),2)</f>
        <v/>
      </c>
      <c r="K370" s="23">
        <f>MIN(D$8,J370)+MAX(0,MIN(J370-MIN(D$8,J370),$C370-((H370-MIN(C$8,G370)))))</f>
        <v/>
      </c>
      <c r="L370" s="23">
        <f>ROUND(J370-K370,2)</f>
        <v/>
      </c>
      <c r="M370" s="23">
        <f>ROUND(O369*(1+E$7/12),2)</f>
        <v/>
      </c>
      <c r="N370" s="23">
        <f>MIN(E$8,M370)+MAX(0,MIN(M370-MIN(E$8,M370),$C370-((H370-MIN(C$8,G370))+(K370-MIN(D$8,J370)))))</f>
        <v/>
      </c>
      <c r="O370" s="23">
        <f>ROUND(M370-N370,2)</f>
        <v/>
      </c>
      <c r="P370" s="23">
        <f>ROUND(R369*(1+F$7/12),2)</f>
        <v/>
      </c>
      <c r="Q370" s="23">
        <f>MIN(F$8,P370)+MAX(0,MIN(P370-MIN(F$8,P370),$C370-((H370-MIN(C$8,G370))+(K370-MIN(D$8,J370))+(N370-MIN(E$8,M370)))))</f>
        <v/>
      </c>
      <c r="R370" s="23">
        <f>ROUND(P370-Q370,2)</f>
        <v/>
      </c>
      <c r="S370" s="23">
        <f>ROUND(U369*(1+G$7/12),2)</f>
        <v/>
      </c>
      <c r="T370" s="23">
        <f>MIN(G$8,S370)+MAX(0,MIN(S370-MIN(G$8,S370),$C370-((H370-MIN(C$8,G370))+(K370-MIN(D$8,J370))+(N370-MIN(E$8,M370))+(Q370-MIN(F$8,P370)))))</f>
        <v/>
      </c>
      <c r="U370" s="23">
        <f>ROUND(S370-T370,2)</f>
        <v/>
      </c>
    </row>
    <row r="371">
      <c r="A371" t="n">
        <v>360</v>
      </c>
      <c r="B371" s="22">
        <f>EDATE(Debts!$B$5,359)</f>
        <v/>
      </c>
      <c r="C371" s="23">
        <f>MAX(0,Debts!$B$6-(MIN(C$8,G371)+MIN(D$8,J371)+MIN(E$8,M371)+MIN(F$8,P371)+MIN(G$8,S371)))</f>
        <v/>
      </c>
      <c r="D371" s="23">
        <f>H371+K371+N371+Q371+T371</f>
        <v/>
      </c>
      <c r="E371" s="23">
        <f>I371+L371+O371+R371+U371</f>
        <v/>
      </c>
      <c r="F371" s="23" t="n"/>
      <c r="G371" s="23">
        <f>ROUND(I370*(1+C$7/12),2)</f>
        <v/>
      </c>
      <c r="H371" s="23">
        <f>MIN(C$8,G371)+MAX(0,MIN(G371-MIN(C$8,G371),$C371-(0)))</f>
        <v/>
      </c>
      <c r="I371" s="23">
        <f>ROUND(G371-H371,2)</f>
        <v/>
      </c>
      <c r="J371" s="23">
        <f>ROUND(L370*(1+D$7/12),2)</f>
        <v/>
      </c>
      <c r="K371" s="23">
        <f>MIN(D$8,J371)+MAX(0,MIN(J371-MIN(D$8,J371),$C371-((H371-MIN(C$8,G371)))))</f>
        <v/>
      </c>
      <c r="L371" s="23">
        <f>ROUND(J371-K371,2)</f>
        <v/>
      </c>
      <c r="M371" s="23">
        <f>ROUND(O370*(1+E$7/12),2)</f>
        <v/>
      </c>
      <c r="N371" s="23">
        <f>MIN(E$8,M371)+MAX(0,MIN(M371-MIN(E$8,M371),$C371-((H371-MIN(C$8,G371))+(K371-MIN(D$8,J371)))))</f>
        <v/>
      </c>
      <c r="O371" s="23">
        <f>ROUND(M371-N371,2)</f>
        <v/>
      </c>
      <c r="P371" s="23">
        <f>ROUND(R370*(1+F$7/12),2)</f>
        <v/>
      </c>
      <c r="Q371" s="23">
        <f>MIN(F$8,P371)+MAX(0,MIN(P371-MIN(F$8,P371),$C371-((H371-MIN(C$8,G371))+(K371-MIN(D$8,J371))+(N371-MIN(E$8,M371)))))</f>
        <v/>
      </c>
      <c r="R371" s="23">
        <f>ROUND(P371-Q371,2)</f>
        <v/>
      </c>
      <c r="S371" s="23">
        <f>ROUND(U370*(1+G$7/12),2)</f>
        <v/>
      </c>
      <c r="T371" s="23">
        <f>MIN(G$8,S371)+MAX(0,MIN(S371-MIN(G$8,S371),$C371-((H371-MIN(C$8,G371))+(K371-MIN(D$8,J371))+(N371-MIN(E$8,M371))+(Q371-MIN(F$8,P371)))))</f>
        <v/>
      </c>
      <c r="U371" s="23">
        <f>ROUND(S371-T371,2)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2026-10-23T10:45:39Z</dcterms:created>
  <dcterms:modified xmlns:dcterms="http://purl.org/dc/terms/" xmlns:xsi="http://www.w3.org/2001/XMLSchema-instance" xsi:type="dcterms:W3CDTF">2026-10-23T10:45:39Z</dcterms:modified>
</cp:coreProperties>
</file>